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5576" windowHeight="12504" firstSheet="17" activeTab="22"/>
  </bookViews>
  <sheets>
    <sheet name="Попова,10.2" sheetId="35" r:id="rId1"/>
    <sheet name="Попова,10.1" sheetId="34" r:id="rId2"/>
    <sheet name="Попова,6.2" sheetId="33" r:id="rId3"/>
    <sheet name="Попова,6.1" sheetId="32" r:id="rId4"/>
    <sheet name="Попова,4.2" sheetId="31" r:id="rId5"/>
    <sheet name="Попова,4.1" sheetId="30" r:id="rId6"/>
    <sheet name="Монтажников,11.2" sheetId="29" r:id="rId7"/>
    <sheet name="Монтажников,11.1" sheetId="28" r:id="rId8"/>
    <sheet name="Монтажников,8" sheetId="27" r:id="rId9"/>
    <sheet name="Монтажников,5" sheetId="26" r:id="rId10"/>
    <sheet name="Монтажников,3" sheetId="25" r:id="rId11"/>
    <sheet name="В.Кащеевой,25" sheetId="24" r:id="rId12"/>
    <sheet name="В.Кащеевой,23.2" sheetId="23" r:id="rId13"/>
    <sheet name="В.Кащеевой,23.1" sheetId="22" r:id="rId14"/>
    <sheet name="В.Кащеевой,17.2" sheetId="21" r:id="rId15"/>
    <sheet name="В.Кащеевой,17.1" sheetId="20" r:id="rId16"/>
    <sheet name="В.Кащеевой,16" sheetId="19" r:id="rId17"/>
    <sheet name="В.Кащеевой,13" sheetId="18" r:id="rId18"/>
    <sheet name="В.Кащеевой,12" sheetId="17" r:id="rId19"/>
    <sheet name="В.Кащеевой,11" sheetId="16" r:id="rId20"/>
    <sheet name="В.Кащеевой,10" sheetId="15" r:id="rId21"/>
    <sheet name="В.Кащеевой,9" sheetId="14" r:id="rId22"/>
    <sheet name="В.Кащеевой,8" sheetId="13" r:id="rId23"/>
    <sheet name="В.Кащеевой, 7" sheetId="12" r:id="rId24"/>
    <sheet name="В.Кащеевой, 6" sheetId="11" r:id="rId25"/>
    <sheet name="В.Кащеевой,4" sheetId="10" r:id="rId26"/>
    <sheet name="В.Кащеевой,2" sheetId="5" r:id="rId27"/>
    <sheet name="В.Кащеевой,1" sheetId="1" r:id="rId28"/>
    <sheet name="Кавалерийская,3" sheetId="38" r:id="rId29"/>
    <sheet name="Кавалерийская,1" sheetId="37" r:id="rId30"/>
    <sheet name="Гущина,160" sheetId="3" r:id="rId31"/>
    <sheet name="Гущина,154" sheetId="36" r:id="rId32"/>
    <sheet name="Горская, 1" sheetId="4" r:id="rId33"/>
    <sheet name="Э.Алексеевой,70" sheetId="6" r:id="rId34"/>
    <sheet name="Лист2" sheetId="7" r:id="rId35"/>
    <sheet name="Лист3" sheetId="8" r:id="rId36"/>
    <sheet name="Лист4" sheetId="9" r:id="rId37"/>
  </sheets>
  <calcPr calcId="145621"/>
</workbook>
</file>

<file path=xl/calcChain.xml><?xml version="1.0" encoding="utf-8"?>
<calcChain xmlns="http://schemas.openxmlformats.org/spreadsheetml/2006/main">
  <c r="C43" i="3" l="1"/>
  <c r="D43" i="3" s="1"/>
  <c r="C45" i="33"/>
  <c r="D45" i="33"/>
  <c r="C45" i="37"/>
  <c r="D45" i="37"/>
  <c r="C45" i="21"/>
  <c r="D45" i="21" s="1"/>
  <c r="C46" i="21"/>
  <c r="D46" i="21" s="1"/>
  <c r="C47" i="21"/>
  <c r="D47" i="21" s="1"/>
  <c r="C48" i="21"/>
  <c r="D48" i="21" s="1"/>
  <c r="C49" i="21"/>
  <c r="D49" i="21" s="1"/>
  <c r="C50" i="21"/>
  <c r="D50" i="21" s="1"/>
  <c r="C44" i="12"/>
  <c r="D44" i="12"/>
  <c r="C45" i="12"/>
  <c r="D45" i="12" s="1"/>
  <c r="C46" i="12"/>
  <c r="D46" i="12"/>
  <c r="C47" i="12"/>
  <c r="D47" i="12"/>
  <c r="C48" i="12"/>
  <c r="D48" i="12"/>
  <c r="C49" i="12"/>
  <c r="D49" i="12"/>
  <c r="C50" i="12"/>
  <c r="D50" i="12"/>
  <c r="C43" i="4"/>
  <c r="D43" i="4" s="1"/>
  <c r="C44" i="37"/>
  <c r="D44" i="37" s="1"/>
  <c r="C46" i="37"/>
  <c r="D46" i="37" s="1"/>
  <c r="C44" i="5" l="1"/>
  <c r="D44" i="5" s="1"/>
  <c r="C45" i="5"/>
  <c r="D45" i="5" s="1"/>
  <c r="C46" i="5"/>
  <c r="D46" i="5" s="1"/>
  <c r="C47" i="5"/>
  <c r="D47" i="5" s="1"/>
  <c r="C48" i="5"/>
  <c r="D48" i="5" s="1"/>
  <c r="C49" i="5"/>
  <c r="D49" i="5" s="1"/>
  <c r="C50" i="5"/>
  <c r="D50" i="5" s="1"/>
  <c r="C51" i="5"/>
  <c r="D51" i="5" s="1"/>
  <c r="C52" i="5"/>
  <c r="D52" i="5" s="1"/>
  <c r="C53" i="5"/>
  <c r="D53" i="5" s="1"/>
  <c r="C54" i="5"/>
  <c r="D54" i="5" s="1"/>
  <c r="C55" i="5"/>
  <c r="D55" i="5" s="1"/>
  <c r="C44" i="10"/>
  <c r="D44" i="10" s="1"/>
  <c r="C45" i="10"/>
  <c r="D45" i="10" s="1"/>
  <c r="C46" i="10"/>
  <c r="D46" i="10" s="1"/>
  <c r="C47" i="10"/>
  <c r="D47" i="10" s="1"/>
  <c r="C48" i="10"/>
  <c r="D48" i="10" s="1"/>
  <c r="C49" i="10"/>
  <c r="D49" i="10" s="1"/>
  <c r="C45" i="11"/>
  <c r="D45" i="11" s="1"/>
  <c r="C46" i="11"/>
  <c r="D46" i="11" s="1"/>
  <c r="C47" i="11"/>
  <c r="D47" i="11" s="1"/>
  <c r="C48" i="11"/>
  <c r="C49" i="11"/>
  <c r="D49" i="11" s="1"/>
  <c r="C50" i="11"/>
  <c r="D50" i="11" s="1"/>
  <c r="C43" i="14"/>
  <c r="D43" i="14" s="1"/>
  <c r="C44" i="14"/>
  <c r="D44" i="14" s="1"/>
  <c r="C45" i="14"/>
  <c r="D45" i="14" s="1"/>
  <c r="C46" i="14"/>
  <c r="D46" i="14" s="1"/>
  <c r="C47" i="14"/>
  <c r="D47" i="14" s="1"/>
  <c r="C48" i="14"/>
  <c r="D48" i="14" s="1"/>
  <c r="C49" i="14"/>
  <c r="D49" i="14" s="1"/>
  <c r="C50" i="14"/>
  <c r="D50" i="14" s="1"/>
  <c r="C47" i="15"/>
  <c r="D47" i="15" s="1"/>
  <c r="C48" i="15"/>
  <c r="D48" i="15" s="1"/>
  <c r="C49" i="15"/>
  <c r="D49" i="15" s="1"/>
  <c r="C50" i="15"/>
  <c r="D50" i="15" s="1"/>
  <c r="C51" i="15"/>
  <c r="D51" i="15" s="1"/>
  <c r="C52" i="15"/>
  <c r="D52" i="15" s="1"/>
  <c r="C53" i="15"/>
  <c r="D53" i="15" s="1"/>
  <c r="C54" i="15"/>
  <c r="D54" i="15" s="1"/>
  <c r="C55" i="15"/>
  <c r="D55" i="15" s="1"/>
  <c r="C45" i="16"/>
  <c r="D45" i="16" s="1"/>
  <c r="C46" i="16"/>
  <c r="D46" i="16" s="1"/>
  <c r="C47" i="16"/>
  <c r="D47" i="16" s="1"/>
  <c r="C48" i="16"/>
  <c r="D48" i="16" s="1"/>
  <c r="C49" i="16"/>
  <c r="D49" i="16" s="1"/>
  <c r="C50" i="16"/>
  <c r="D50" i="16" s="1"/>
  <c r="C51" i="16"/>
  <c r="D51" i="16" s="1"/>
  <c r="C52" i="16"/>
  <c r="D52" i="16" s="1"/>
  <c r="C53" i="16"/>
  <c r="D53" i="16" s="1"/>
  <c r="C54" i="16"/>
  <c r="D54" i="16" s="1"/>
  <c r="C55" i="16"/>
  <c r="D55" i="16" s="1"/>
  <c r="C44" i="17"/>
  <c r="D44" i="17" s="1"/>
  <c r="C45" i="17"/>
  <c r="D45" i="17" s="1"/>
  <c r="C46" i="17"/>
  <c r="D46" i="17" s="1"/>
  <c r="C47" i="17"/>
  <c r="D47" i="17" s="1"/>
  <c r="C48" i="17"/>
  <c r="D48" i="17" s="1"/>
  <c r="C49" i="17"/>
  <c r="D49" i="17" s="1"/>
  <c r="C50" i="17"/>
  <c r="D50" i="17" s="1"/>
  <c r="C51" i="17"/>
  <c r="D51" i="17" s="1"/>
  <c r="C52" i="17"/>
  <c r="D52" i="17" s="1"/>
  <c r="C53" i="17"/>
  <c r="D53" i="17" s="1"/>
  <c r="C54" i="17"/>
  <c r="D54" i="17" s="1"/>
  <c r="C55" i="17"/>
  <c r="D55" i="17" s="1"/>
  <c r="C61" i="17"/>
  <c r="D61" i="17" s="1"/>
  <c r="C60" i="17"/>
  <c r="D60" i="17" s="1"/>
  <c r="C59" i="17"/>
  <c r="D59" i="17" s="1"/>
  <c r="D63" i="17" l="1"/>
  <c r="C45" i="18" l="1"/>
  <c r="D45" i="18" s="1"/>
  <c r="C46" i="18"/>
  <c r="D46" i="18" s="1"/>
  <c r="C47" i="18"/>
  <c r="D47" i="18" s="1"/>
  <c r="C48" i="18"/>
  <c r="D48" i="18" s="1"/>
  <c r="C49" i="18"/>
  <c r="D49" i="18" s="1"/>
  <c r="C50" i="18"/>
  <c r="D50" i="18" s="1"/>
  <c r="C45" i="20"/>
  <c r="D45" i="20" s="1"/>
  <c r="C46" i="20"/>
  <c r="D46" i="20" s="1"/>
  <c r="C47" i="20"/>
  <c r="D47" i="20" s="1"/>
  <c r="C48" i="20"/>
  <c r="D48" i="20" s="1"/>
  <c r="C49" i="20"/>
  <c r="D49" i="20" s="1"/>
  <c r="C47" i="19"/>
  <c r="D47" i="19"/>
  <c r="C48" i="19"/>
  <c r="D48" i="19"/>
  <c r="C49" i="19"/>
  <c r="D49" i="19"/>
  <c r="C50" i="19"/>
  <c r="D50" i="19"/>
  <c r="C43" i="22"/>
  <c r="D43" i="22"/>
  <c r="C44" i="22"/>
  <c r="D44" i="22"/>
  <c r="C45" i="22"/>
  <c r="D45" i="22"/>
  <c r="C46" i="22"/>
  <c r="D46" i="22"/>
  <c r="C47" i="22"/>
  <c r="D47" i="22"/>
  <c r="C48" i="22"/>
  <c r="D48" i="22"/>
  <c r="C49" i="22"/>
  <c r="D49" i="22"/>
  <c r="C50" i="22"/>
  <c r="D50" i="22"/>
  <c r="C43" i="23"/>
  <c r="D43" i="23" s="1"/>
  <c r="C44" i="23"/>
  <c r="D44" i="23" s="1"/>
  <c r="C45" i="23"/>
  <c r="D45" i="23" s="1"/>
  <c r="C46" i="23"/>
  <c r="D46" i="23" s="1"/>
  <c r="C47" i="23"/>
  <c r="D47" i="23" s="1"/>
  <c r="C48" i="23"/>
  <c r="C49" i="23"/>
  <c r="D49" i="23" s="1"/>
  <c r="C50" i="23"/>
  <c r="D50" i="23" s="1"/>
  <c r="C44" i="25"/>
  <c r="D44" i="25" s="1"/>
  <c r="C45" i="25"/>
  <c r="D45" i="25"/>
  <c r="C46" i="25"/>
  <c r="D46" i="25" s="1"/>
  <c r="C47" i="25"/>
  <c r="D47" i="25" s="1"/>
  <c r="C48" i="25"/>
  <c r="D48" i="25" s="1"/>
  <c r="C49" i="25"/>
  <c r="D49" i="25" s="1"/>
  <c r="C50" i="25"/>
  <c r="D50" i="25"/>
  <c r="C43" i="26"/>
  <c r="D43" i="26" s="1"/>
  <c r="C44" i="26"/>
  <c r="D44" i="26"/>
  <c r="C45" i="26"/>
  <c r="D45" i="26"/>
  <c r="C46" i="26"/>
  <c r="D46" i="26"/>
  <c r="C45" i="27"/>
  <c r="D45" i="27" s="1"/>
  <c r="C46" i="27"/>
  <c r="D46" i="27" s="1"/>
  <c r="C47" i="27"/>
  <c r="D47" i="27" s="1"/>
  <c r="C48" i="27"/>
  <c r="D48" i="27" s="1"/>
  <c r="C49" i="27"/>
  <c r="D49" i="27" s="1"/>
  <c r="C50" i="27"/>
  <c r="D50" i="27" s="1"/>
  <c r="C46" i="34"/>
  <c r="D46" i="34" s="1"/>
  <c r="C47" i="34"/>
  <c r="D47" i="34" s="1"/>
  <c r="C48" i="34"/>
  <c r="D48" i="34" s="1"/>
  <c r="C49" i="34"/>
  <c r="D49" i="34" s="1"/>
  <c r="C45" i="28"/>
  <c r="D45" i="28" s="1"/>
  <c r="C46" i="28"/>
  <c r="D46" i="28" s="1"/>
  <c r="C47" i="28"/>
  <c r="D47" i="28" s="1"/>
  <c r="C48" i="28"/>
  <c r="D48" i="28" s="1"/>
  <c r="C49" i="28"/>
  <c r="D49" i="28" s="1"/>
  <c r="C50" i="28"/>
  <c r="D50" i="28" s="1"/>
  <c r="C45" i="29"/>
  <c r="D45" i="29" s="1"/>
  <c r="C46" i="29"/>
  <c r="D46" i="29" s="1"/>
  <c r="C47" i="29"/>
  <c r="D47" i="29" s="1"/>
  <c r="C48" i="29"/>
  <c r="D48" i="29" s="1"/>
  <c r="C49" i="29"/>
  <c r="D49" i="29" s="1"/>
  <c r="C50" i="29"/>
  <c r="D50" i="29" s="1"/>
  <c r="C43" i="32"/>
  <c r="D43" i="32" s="1"/>
  <c r="C44" i="32"/>
  <c r="D44" i="32" s="1"/>
  <c r="C45" i="32"/>
  <c r="D45" i="32" s="1"/>
  <c r="C46" i="32"/>
  <c r="D46" i="32"/>
  <c r="C47" i="32"/>
  <c r="D47" i="32"/>
  <c r="C43" i="35" l="1"/>
  <c r="D43" i="35" s="1"/>
  <c r="C44" i="35"/>
  <c r="D44" i="35" s="1"/>
  <c r="C45" i="35"/>
  <c r="D45" i="35" s="1"/>
  <c r="C46" i="35"/>
  <c r="D46" i="35" s="1"/>
  <c r="C47" i="35"/>
  <c r="D47" i="35" s="1"/>
  <c r="C43" i="37" l="1"/>
  <c r="D43" i="37" s="1"/>
  <c r="C44" i="11"/>
  <c r="D44" i="11" s="1"/>
  <c r="C43" i="11"/>
  <c r="D43" i="11" s="1"/>
  <c r="C44" i="15"/>
  <c r="D44" i="15" s="1"/>
  <c r="C43" i="15"/>
  <c r="D43" i="15" s="1"/>
  <c r="C45" i="19"/>
  <c r="D45" i="19" s="1"/>
  <c r="C44" i="19"/>
  <c r="D44" i="19" s="1"/>
  <c r="C44" i="20"/>
  <c r="D44" i="20" s="1"/>
  <c r="C43" i="20"/>
  <c r="D43" i="20" s="1"/>
  <c r="C44" i="21"/>
  <c r="D44" i="21" s="1"/>
  <c r="C43" i="21"/>
  <c r="D43" i="21" s="1"/>
  <c r="C44" i="28"/>
  <c r="D44" i="28" s="1"/>
  <c r="C43" i="28"/>
  <c r="D43" i="28" s="1"/>
  <c r="C43" i="34"/>
  <c r="D43" i="34" s="1"/>
  <c r="C44" i="29"/>
  <c r="D44" i="29" s="1"/>
  <c r="C43" i="29"/>
  <c r="D43" i="29" s="1"/>
  <c r="C44" i="27"/>
  <c r="C43" i="27"/>
  <c r="D43" i="27" s="1"/>
  <c r="D44" i="27"/>
  <c r="C43" i="25"/>
  <c r="D43" i="25" s="1"/>
  <c r="C43" i="19"/>
  <c r="D43" i="19" s="1"/>
  <c r="C44" i="18"/>
  <c r="D44" i="18" s="1"/>
  <c r="C43" i="18"/>
  <c r="D43" i="18" s="1"/>
  <c r="C43" i="17"/>
  <c r="D43" i="17" s="1"/>
  <c r="C44" i="16"/>
  <c r="D44" i="16" s="1"/>
  <c r="C43" i="16"/>
  <c r="D43" i="16" s="1"/>
  <c r="C42" i="16"/>
  <c r="D42" i="16" s="1"/>
  <c r="C42" i="15"/>
  <c r="D42" i="15" s="1"/>
  <c r="C43" i="12"/>
  <c r="D43" i="12" s="1"/>
  <c r="C44" i="1"/>
  <c r="D44" i="1" s="1"/>
  <c r="C43" i="1"/>
  <c r="D43" i="1" s="1"/>
  <c r="C41" i="6"/>
  <c r="D41" i="6" s="1"/>
  <c r="E44" i="4"/>
  <c r="C44" i="4"/>
  <c r="C44" i="3"/>
  <c r="D44" i="3" s="1"/>
  <c r="E43" i="36"/>
  <c r="C43" i="36"/>
  <c r="C42" i="3"/>
  <c r="C47" i="3"/>
  <c r="D47" i="3" s="1"/>
  <c r="C51" i="37"/>
  <c r="D51" i="37" s="1"/>
  <c r="E47" i="37"/>
  <c r="C42" i="37"/>
  <c r="D42" i="37" s="1"/>
  <c r="D44" i="4" l="1"/>
  <c r="D43" i="36"/>
  <c r="D42" i="3"/>
  <c r="C47" i="37"/>
  <c r="E45" i="38" l="1"/>
  <c r="C42" i="38"/>
  <c r="C45" i="38" s="1"/>
  <c r="E45" i="1"/>
  <c r="C42" i="1"/>
  <c r="D42" i="1" s="1"/>
  <c r="E56" i="10"/>
  <c r="C41" i="10"/>
  <c r="E56" i="11"/>
  <c r="C42" i="11"/>
  <c r="E56" i="12"/>
  <c r="C42" i="12"/>
  <c r="D42" i="12" s="1"/>
  <c r="C42" i="13"/>
  <c r="E56" i="14"/>
  <c r="C42" i="14"/>
  <c r="E56" i="18"/>
  <c r="C42" i="18"/>
  <c r="E56" i="19"/>
  <c r="C46" i="19"/>
  <c r="D46" i="19" s="1"/>
  <c r="C42" i="19"/>
  <c r="D42" i="19" s="1"/>
  <c r="E55" i="20"/>
  <c r="C42" i="20"/>
  <c r="C55" i="20" s="1"/>
  <c r="E56" i="21"/>
  <c r="C42" i="21"/>
  <c r="E56" i="22"/>
  <c r="C42" i="22"/>
  <c r="C56" i="22" s="1"/>
  <c r="E56" i="23"/>
  <c r="C42" i="23"/>
  <c r="D42" i="23" s="1"/>
  <c r="C42" i="24"/>
  <c r="D42" i="24" s="1"/>
  <c r="E56" i="25"/>
  <c r="C42" i="25"/>
  <c r="D42" i="25" s="1"/>
  <c r="E56" i="26"/>
  <c r="C42" i="26"/>
  <c r="C56" i="26" s="1"/>
  <c r="C42" i="27"/>
  <c r="D42" i="27" s="1"/>
  <c r="E56" i="27"/>
  <c r="C62" i="26"/>
  <c r="D62" i="26" s="1"/>
  <c r="E56" i="28"/>
  <c r="C42" i="28"/>
  <c r="C56" i="28" s="1"/>
  <c r="E56" i="29"/>
  <c r="C42" i="29"/>
  <c r="D42" i="29" s="1"/>
  <c r="D56" i="29" s="1"/>
  <c r="C42" i="30"/>
  <c r="D42" i="30" s="1"/>
  <c r="E56" i="32"/>
  <c r="E56" i="35"/>
  <c r="C42" i="31"/>
  <c r="D42" i="31" s="1"/>
  <c r="C42" i="32"/>
  <c r="C56" i="32" s="1"/>
  <c r="C42" i="35"/>
  <c r="D42" i="35" s="1"/>
  <c r="D56" i="35" s="1"/>
  <c r="C42" i="34"/>
  <c r="D42" i="34" s="1"/>
  <c r="E38" i="6"/>
  <c r="C38" i="6" s="1"/>
  <c r="D38" i="6" s="1"/>
  <c r="E39" i="4"/>
  <c r="C39" i="4" s="1"/>
  <c r="D39" i="4" s="1"/>
  <c r="C33" i="4"/>
  <c r="D33" i="4" s="1"/>
  <c r="E40" i="36"/>
  <c r="C40" i="36" s="1"/>
  <c r="D40" i="36" s="1"/>
  <c r="D31" i="36"/>
  <c r="E31" i="36"/>
  <c r="C32" i="36"/>
  <c r="E32" i="36" s="1"/>
  <c r="E39" i="3"/>
  <c r="C39" i="3" s="1"/>
  <c r="D39" i="3" s="1"/>
  <c r="C19" i="3"/>
  <c r="D19" i="3" s="1"/>
  <c r="D46" i="3"/>
  <c r="C46" i="3" s="1"/>
  <c r="E46" i="3" s="1"/>
  <c r="E39" i="37"/>
  <c r="C39" i="37" s="1"/>
  <c r="D39" i="37" s="1"/>
  <c r="E39" i="38"/>
  <c r="C39" i="38" s="1"/>
  <c r="D39" i="38" s="1"/>
  <c r="D39" i="1"/>
  <c r="C38" i="1"/>
  <c r="D38" i="1" s="1"/>
  <c r="E38" i="1"/>
  <c r="D40" i="5"/>
  <c r="E39" i="5"/>
  <c r="C39" i="5" s="1"/>
  <c r="D39" i="5" s="1"/>
  <c r="E38" i="10"/>
  <c r="C38" i="10" s="1"/>
  <c r="D38" i="10" s="1"/>
  <c r="E39" i="11"/>
  <c r="C39" i="11" s="1"/>
  <c r="D39" i="11" s="1"/>
  <c r="E39" i="12"/>
  <c r="C39" i="12" s="1"/>
  <c r="D39" i="12" s="1"/>
  <c r="E39" i="13"/>
  <c r="C39" i="13" s="1"/>
  <c r="D39" i="13" s="1"/>
  <c r="E39" i="14"/>
  <c r="C39" i="14" s="1"/>
  <c r="D39" i="14" s="1"/>
  <c r="E39" i="15"/>
  <c r="C39" i="15" s="1"/>
  <c r="D39" i="15" s="1"/>
  <c r="E39" i="16"/>
  <c r="C39" i="16" s="1"/>
  <c r="D39" i="16" s="1"/>
  <c r="C42" i="17"/>
  <c r="D42" i="17" s="1"/>
  <c r="E39" i="17"/>
  <c r="C39" i="17" s="1"/>
  <c r="D39" i="17" s="1"/>
  <c r="E39" i="18"/>
  <c r="C39" i="18" s="1"/>
  <c r="D39" i="18" s="1"/>
  <c r="E39" i="19"/>
  <c r="C39" i="19" s="1"/>
  <c r="D39" i="19" s="1"/>
  <c r="E39" i="20"/>
  <c r="C39" i="20" s="1"/>
  <c r="D39" i="20" s="1"/>
  <c r="E39" i="21"/>
  <c r="C39" i="21" s="1"/>
  <c r="D39" i="21" s="1"/>
  <c r="E39" i="22"/>
  <c r="C39" i="22" s="1"/>
  <c r="D39" i="22" s="1"/>
  <c r="C56" i="11" l="1"/>
  <c r="C56" i="14"/>
  <c r="C56" i="21"/>
  <c r="D42" i="21"/>
  <c r="D56" i="21" s="1"/>
  <c r="D42" i="22"/>
  <c r="D56" i="22" s="1"/>
  <c r="D56" i="25"/>
  <c r="D42" i="38"/>
  <c r="D56" i="12"/>
  <c r="D42" i="13"/>
  <c r="D42" i="20"/>
  <c r="D55" i="20" s="1"/>
  <c r="D42" i="28"/>
  <c r="D56" i="28" s="1"/>
  <c r="D56" i="19"/>
  <c r="D42" i="26"/>
  <c r="D56" i="26" s="1"/>
  <c r="C56" i="18"/>
  <c r="D42" i="18"/>
  <c r="D42" i="14"/>
  <c r="D56" i="14" s="1"/>
  <c r="D42" i="11"/>
  <c r="C56" i="10"/>
  <c r="D41" i="10"/>
  <c r="D56" i="10" s="1"/>
  <c r="D45" i="1"/>
  <c r="C45" i="1"/>
  <c r="C56" i="35"/>
  <c r="C56" i="12"/>
  <c r="C56" i="19"/>
  <c r="C56" i="23"/>
  <c r="C56" i="25"/>
  <c r="D56" i="27"/>
  <c r="C56" i="27"/>
  <c r="C56" i="29"/>
  <c r="D42" i="32"/>
  <c r="D56" i="32" s="1"/>
  <c r="E39" i="23"/>
  <c r="C39" i="23" s="1"/>
  <c r="D39" i="23" s="1"/>
  <c r="E39" i="24"/>
  <c r="C39" i="24" s="1"/>
  <c r="D39" i="24" s="1"/>
  <c r="E39" i="25"/>
  <c r="C39" i="25" s="1"/>
  <c r="D39" i="25" s="1"/>
  <c r="E39" i="26"/>
  <c r="C39" i="26" s="1"/>
  <c r="D39" i="26" s="1"/>
  <c r="C30" i="26"/>
  <c r="E39" i="27" l="1"/>
  <c r="C39" i="27" s="1"/>
  <c r="D39" i="27" s="1"/>
  <c r="E39" i="28"/>
  <c r="C39" i="28" s="1"/>
  <c r="D39" i="28" s="1"/>
  <c r="E39" i="29"/>
  <c r="C39" i="29" s="1"/>
  <c r="D39" i="29" s="1"/>
  <c r="E39" i="30"/>
  <c r="C39" i="30" s="1"/>
  <c r="D39" i="30" s="1"/>
  <c r="E39" i="31"/>
  <c r="C39" i="31" s="1"/>
  <c r="D39" i="31" s="1"/>
  <c r="E39" i="32"/>
  <c r="C39" i="32" s="1"/>
  <c r="D39" i="32" s="1"/>
  <c r="E39" i="33"/>
  <c r="C39" i="33" s="1"/>
  <c r="D39" i="33" s="1"/>
  <c r="E39" i="34"/>
  <c r="C39" i="34" s="1"/>
  <c r="D39" i="34" s="1"/>
  <c r="E39" i="35"/>
  <c r="C39" i="35" s="1"/>
  <c r="D39" i="35" s="1"/>
  <c r="C47" i="4"/>
  <c r="D47" i="4" s="1"/>
  <c r="D46" i="4"/>
  <c r="C46" i="4" s="1"/>
  <c r="E46" i="4" s="1"/>
  <c r="D48" i="4" l="1"/>
  <c r="C50" i="37" l="1"/>
  <c r="D50" i="37" s="1"/>
  <c r="D49" i="37"/>
  <c r="C49" i="37" s="1"/>
  <c r="E49" i="37" s="1"/>
  <c r="C40" i="37"/>
  <c r="E40" i="37" s="1"/>
  <c r="C38" i="37"/>
  <c r="E38" i="37" s="1"/>
  <c r="C37" i="37"/>
  <c r="E37" i="37" s="1"/>
  <c r="C36" i="37"/>
  <c r="E36" i="37" s="1"/>
  <c r="C35" i="37"/>
  <c r="E35" i="37" s="1"/>
  <c r="D34" i="37"/>
  <c r="C33" i="37"/>
  <c r="E33" i="37" s="1"/>
  <c r="C32" i="37"/>
  <c r="E32" i="37" s="1"/>
  <c r="C31" i="37"/>
  <c r="E31" i="37" s="1"/>
  <c r="E30" i="37"/>
  <c r="D30" i="37"/>
  <c r="D28" i="37" s="1"/>
  <c r="C29" i="37"/>
  <c r="E29" i="37" s="1"/>
  <c r="E27" i="37"/>
  <c r="C27" i="37" s="1"/>
  <c r="D27" i="37" s="1"/>
  <c r="D24" i="37" s="1"/>
  <c r="C26" i="37"/>
  <c r="E26" i="37" s="1"/>
  <c r="C25" i="37"/>
  <c r="E25" i="37" s="1"/>
  <c r="C20" i="37"/>
  <c r="E20" i="37" s="1"/>
  <c r="C19" i="37"/>
  <c r="D19" i="37" s="1"/>
  <c r="C13" i="37"/>
  <c r="D11" i="37"/>
  <c r="E27" i="38"/>
  <c r="E22" i="37" l="1"/>
  <c r="C22" i="37" s="1"/>
  <c r="D22" i="37" s="1"/>
  <c r="D47" i="37"/>
  <c r="C28" i="37"/>
  <c r="C21" i="37"/>
  <c r="D21" i="37" s="1"/>
  <c r="D18" i="37" s="1"/>
  <c r="C17" i="37"/>
  <c r="E28" i="37"/>
  <c r="D52" i="37"/>
  <c r="E24" i="37"/>
  <c r="C24" i="37"/>
  <c r="E34" i="37"/>
  <c r="D12" i="37"/>
  <c r="D23" i="37"/>
  <c r="C34" i="37"/>
  <c r="C18" i="37" l="1"/>
  <c r="E21" i="37"/>
  <c r="E18" i="37" s="1"/>
  <c r="E23" i="37"/>
  <c r="C23" i="37"/>
  <c r="E17" i="37"/>
  <c r="D17" i="37"/>
  <c r="D16" i="37" s="1"/>
  <c r="D41" i="37" s="1"/>
  <c r="C16" i="37"/>
  <c r="E16" i="37" l="1"/>
  <c r="D48" i="37"/>
  <c r="C48" i="37" s="1"/>
  <c r="E48" i="37" s="1"/>
  <c r="C41" i="37"/>
  <c r="E41" i="37" s="1"/>
  <c r="C48" i="38" l="1"/>
  <c r="D48" i="38" s="1"/>
  <c r="D49" i="38" s="1"/>
  <c r="D47" i="38"/>
  <c r="C47" i="38" s="1"/>
  <c r="E47" i="38" s="1"/>
  <c r="C40" i="38"/>
  <c r="E40" i="38" s="1"/>
  <c r="C38" i="38"/>
  <c r="E38" i="38" s="1"/>
  <c r="C37" i="38"/>
  <c r="E37" i="38" s="1"/>
  <c r="C36" i="38"/>
  <c r="E36" i="38" s="1"/>
  <c r="C35" i="38"/>
  <c r="E35" i="38" s="1"/>
  <c r="D34" i="38"/>
  <c r="C33" i="38"/>
  <c r="E33" i="38" s="1"/>
  <c r="C32" i="38"/>
  <c r="E32" i="38" s="1"/>
  <c r="C31" i="38"/>
  <c r="E31" i="38" s="1"/>
  <c r="E30" i="38"/>
  <c r="D30" i="38"/>
  <c r="D28" i="38" s="1"/>
  <c r="C29" i="38"/>
  <c r="E29" i="38" s="1"/>
  <c r="C27" i="38"/>
  <c r="D27" i="38" s="1"/>
  <c r="D24" i="38" s="1"/>
  <c r="C26" i="38"/>
  <c r="E26" i="38" s="1"/>
  <c r="C25" i="38"/>
  <c r="E25" i="38" s="1"/>
  <c r="C20" i="38"/>
  <c r="E20" i="38" s="1"/>
  <c r="C19" i="38"/>
  <c r="D19" i="38" s="1"/>
  <c r="C13" i="38"/>
  <c r="D11" i="38"/>
  <c r="E27" i="36"/>
  <c r="E22" i="38" l="1"/>
  <c r="C22" i="38" s="1"/>
  <c r="D22" i="38" s="1"/>
  <c r="D45" i="38"/>
  <c r="C34" i="38"/>
  <c r="D23" i="38"/>
  <c r="D12" i="38"/>
  <c r="C17" i="38"/>
  <c r="E28" i="38"/>
  <c r="E34" i="38"/>
  <c r="E24" i="38"/>
  <c r="C21" i="38"/>
  <c r="C18" i="38" s="1"/>
  <c r="C24" i="38"/>
  <c r="C28" i="38"/>
  <c r="E23" i="38" l="1"/>
  <c r="D21" i="38"/>
  <c r="D18" i="38" s="1"/>
  <c r="E21" i="38"/>
  <c r="E18" i="38" s="1"/>
  <c r="D17" i="38"/>
  <c r="C16" i="38"/>
  <c r="E17" i="38"/>
  <c r="C23" i="38"/>
  <c r="D16" i="38" l="1"/>
  <c r="D41" i="38" s="1"/>
  <c r="C41" i="38" s="1"/>
  <c r="E41" i="38" s="1"/>
  <c r="E16" i="38"/>
  <c r="D46" i="38" l="1"/>
  <c r="C46" i="38" s="1"/>
  <c r="E46" i="38" s="1"/>
  <c r="C47" i="36"/>
  <c r="D47" i="36" s="1"/>
  <c r="C46" i="36"/>
  <c r="D46" i="36" s="1"/>
  <c r="C45" i="36"/>
  <c r="D45" i="36" s="1"/>
  <c r="D44" i="36"/>
  <c r="C44" i="36" s="1"/>
  <c r="E44" i="36" s="1"/>
  <c r="C41" i="36"/>
  <c r="E41" i="36" s="1"/>
  <c r="C39" i="36"/>
  <c r="E39" i="36" s="1"/>
  <c r="C38" i="36"/>
  <c r="E38" i="36" s="1"/>
  <c r="C37" i="36"/>
  <c r="E37" i="36" s="1"/>
  <c r="C36" i="36"/>
  <c r="E36" i="36" s="1"/>
  <c r="D35" i="36"/>
  <c r="C34" i="36"/>
  <c r="E34" i="36" s="1"/>
  <c r="C33" i="36"/>
  <c r="E33" i="36" s="1"/>
  <c r="E30" i="36"/>
  <c r="D30" i="36"/>
  <c r="D28" i="36" s="1"/>
  <c r="C29" i="36"/>
  <c r="E29" i="36" s="1"/>
  <c r="C27" i="36"/>
  <c r="D27" i="36" s="1"/>
  <c r="D24" i="36" s="1"/>
  <c r="C26" i="36"/>
  <c r="E26" i="36" s="1"/>
  <c r="C25" i="36"/>
  <c r="E25" i="36" s="1"/>
  <c r="C20" i="36"/>
  <c r="E20" i="36" s="1"/>
  <c r="C19" i="36"/>
  <c r="D19" i="36" s="1"/>
  <c r="C13" i="36"/>
  <c r="E22" i="36" s="1"/>
  <c r="C22" i="36" s="1"/>
  <c r="D22" i="36" s="1"/>
  <c r="D11" i="36"/>
  <c r="D12" i="36" s="1"/>
  <c r="C45" i="6"/>
  <c r="D45" i="6" s="1"/>
  <c r="D44" i="6"/>
  <c r="C44" i="6" s="1"/>
  <c r="E44" i="6" s="1"/>
  <c r="E42" i="6"/>
  <c r="C39" i="6"/>
  <c r="E39" i="6" s="1"/>
  <c r="C37" i="6"/>
  <c r="E37" i="6" s="1"/>
  <c r="C36" i="6"/>
  <c r="E36" i="6" s="1"/>
  <c r="C35" i="6"/>
  <c r="E35" i="6" s="1"/>
  <c r="C34" i="6"/>
  <c r="D33" i="6"/>
  <c r="C32" i="6"/>
  <c r="E32" i="6" s="1"/>
  <c r="C31" i="6"/>
  <c r="E31" i="6" s="1"/>
  <c r="C30" i="6"/>
  <c r="E30" i="6" s="1"/>
  <c r="E29" i="6"/>
  <c r="D29" i="6"/>
  <c r="C28" i="6"/>
  <c r="E28" i="6" s="1"/>
  <c r="D27" i="6"/>
  <c r="C26" i="6"/>
  <c r="E26" i="6" s="1"/>
  <c r="C25" i="6"/>
  <c r="E25" i="6" s="1"/>
  <c r="D24" i="6"/>
  <c r="C20" i="6"/>
  <c r="E20" i="6" s="1"/>
  <c r="C19" i="6"/>
  <c r="D19" i="6" s="1"/>
  <c r="C13" i="6"/>
  <c r="E22" i="6" s="1"/>
  <c r="C22" i="6" s="1"/>
  <c r="D22" i="6" s="1"/>
  <c r="D11" i="6"/>
  <c r="D12" i="6" s="1"/>
  <c r="C33" i="6" l="1"/>
  <c r="D23" i="6"/>
  <c r="E34" i="6"/>
  <c r="C42" i="6"/>
  <c r="C35" i="36"/>
  <c r="D23" i="36"/>
  <c r="E28" i="36"/>
  <c r="C17" i="6"/>
  <c r="C17" i="36"/>
  <c r="E27" i="6"/>
  <c r="D48" i="36"/>
  <c r="E35" i="36"/>
  <c r="E24" i="36"/>
  <c r="C21" i="36"/>
  <c r="C18" i="36" s="1"/>
  <c r="C24" i="36"/>
  <c r="C28" i="36"/>
  <c r="D46" i="6"/>
  <c r="E24" i="6"/>
  <c r="E33" i="6"/>
  <c r="C21" i="6"/>
  <c r="C24" i="6"/>
  <c r="C27" i="6"/>
  <c r="E23" i="6" l="1"/>
  <c r="E23" i="36"/>
  <c r="D21" i="36"/>
  <c r="D18" i="36" s="1"/>
  <c r="E21" i="36"/>
  <c r="E18" i="36" s="1"/>
  <c r="D17" i="36"/>
  <c r="C16" i="36"/>
  <c r="E17" i="36"/>
  <c r="C23" i="36"/>
  <c r="C23" i="6"/>
  <c r="D21" i="6"/>
  <c r="D18" i="6" s="1"/>
  <c r="E21" i="6"/>
  <c r="E18" i="6" s="1"/>
  <c r="D17" i="6"/>
  <c r="E17" i="6"/>
  <c r="C18" i="6"/>
  <c r="D16" i="6" l="1"/>
  <c r="D40" i="6" s="1"/>
  <c r="E16" i="36"/>
  <c r="D16" i="36"/>
  <c r="D42" i="36" s="1"/>
  <c r="E16" i="6"/>
  <c r="D43" i="6"/>
  <c r="C43" i="6" s="1"/>
  <c r="E43" i="6" s="1"/>
  <c r="C40" i="6"/>
  <c r="E40" i="6" s="1"/>
  <c r="C16" i="6"/>
  <c r="D42" i="6" s="1"/>
  <c r="C42" i="36" l="1"/>
  <c r="E42" i="36" s="1"/>
  <c r="C59" i="35"/>
  <c r="D59" i="35" s="1"/>
  <c r="D58" i="35"/>
  <c r="C58" i="35" s="1"/>
  <c r="E58" i="35" s="1"/>
  <c r="C40" i="35"/>
  <c r="E40" i="35" s="1"/>
  <c r="C38" i="35"/>
  <c r="E38" i="35" s="1"/>
  <c r="C37" i="35"/>
  <c r="E37" i="35" s="1"/>
  <c r="C36" i="35"/>
  <c r="E36" i="35" s="1"/>
  <c r="C35" i="35"/>
  <c r="E35" i="35" s="1"/>
  <c r="D34" i="35"/>
  <c r="C33" i="35"/>
  <c r="E33" i="35" s="1"/>
  <c r="C32" i="35"/>
  <c r="E32" i="35" s="1"/>
  <c r="C31" i="35"/>
  <c r="E31" i="35" s="1"/>
  <c r="E30" i="35"/>
  <c r="D30" i="35"/>
  <c r="D28" i="35" s="1"/>
  <c r="C29" i="35"/>
  <c r="E29" i="35" s="1"/>
  <c r="E27" i="35"/>
  <c r="C27" i="35" s="1"/>
  <c r="D27" i="35" s="1"/>
  <c r="D24" i="35" s="1"/>
  <c r="C26" i="35"/>
  <c r="E26" i="35" s="1"/>
  <c r="C25" i="35"/>
  <c r="E25" i="35" s="1"/>
  <c r="C20" i="35"/>
  <c r="C19" i="35"/>
  <c r="C13" i="35"/>
  <c r="E22" i="35" s="1"/>
  <c r="C22" i="35" s="1"/>
  <c r="D22" i="35" s="1"/>
  <c r="D11" i="35"/>
  <c r="C21" i="35" s="1"/>
  <c r="E24" i="35" l="1"/>
  <c r="D19" i="35"/>
  <c r="D23" i="35"/>
  <c r="C34" i="35"/>
  <c r="E28" i="35"/>
  <c r="D63" i="35"/>
  <c r="E34" i="35"/>
  <c r="E23" i="35" s="1"/>
  <c r="D21" i="35"/>
  <c r="E21" i="35"/>
  <c r="D12" i="35"/>
  <c r="C18" i="35"/>
  <c r="E20" i="35"/>
  <c r="C24" i="35"/>
  <c r="C28" i="35"/>
  <c r="C17" i="35"/>
  <c r="C23" i="35" l="1"/>
  <c r="D18" i="35"/>
  <c r="E18" i="35"/>
  <c r="D17" i="35"/>
  <c r="C16" i="35"/>
  <c r="E17" i="35"/>
  <c r="E16" i="35" l="1"/>
  <c r="D16" i="35"/>
  <c r="D57" i="35" s="1"/>
  <c r="D41" i="35" l="1"/>
  <c r="C41" i="35" s="1"/>
  <c r="E41" i="35" s="1"/>
  <c r="C57" i="35"/>
  <c r="E57" i="35" s="1"/>
  <c r="C58" i="34"/>
  <c r="D58" i="34" s="1"/>
  <c r="D57" i="34"/>
  <c r="C57" i="34" s="1"/>
  <c r="E57" i="34" s="1"/>
  <c r="E55" i="34"/>
  <c r="C45" i="34"/>
  <c r="D45" i="34" s="1"/>
  <c r="C44" i="34"/>
  <c r="D44" i="34" s="1"/>
  <c r="C40" i="34"/>
  <c r="E40" i="34" s="1"/>
  <c r="C38" i="34"/>
  <c r="E38" i="34" s="1"/>
  <c r="C37" i="34"/>
  <c r="E37" i="34" s="1"/>
  <c r="C36" i="34"/>
  <c r="E36" i="34" s="1"/>
  <c r="C35" i="34"/>
  <c r="E35" i="34" s="1"/>
  <c r="D34" i="34"/>
  <c r="C33" i="34"/>
  <c r="E33" i="34" s="1"/>
  <c r="C32" i="34"/>
  <c r="E32" i="34" s="1"/>
  <c r="C31" i="34"/>
  <c r="E31" i="34" s="1"/>
  <c r="E30" i="34"/>
  <c r="D30" i="34"/>
  <c r="D28" i="34" s="1"/>
  <c r="C29" i="34"/>
  <c r="E29" i="34" s="1"/>
  <c r="E27" i="34"/>
  <c r="C27" i="34" s="1"/>
  <c r="D27" i="34" s="1"/>
  <c r="D24" i="34" s="1"/>
  <c r="C26" i="34"/>
  <c r="E26" i="34" s="1"/>
  <c r="C25" i="34"/>
  <c r="E25" i="34" s="1"/>
  <c r="C20" i="34"/>
  <c r="E20" i="34" s="1"/>
  <c r="C19" i="34"/>
  <c r="D19" i="34" s="1"/>
  <c r="C13" i="34"/>
  <c r="E22" i="34" s="1"/>
  <c r="C22" i="34" s="1"/>
  <c r="D22" i="34" s="1"/>
  <c r="D11" i="34"/>
  <c r="C21" i="34" s="1"/>
  <c r="E24" i="34" l="1"/>
  <c r="D62" i="34"/>
  <c r="C24" i="34"/>
  <c r="D12" i="34"/>
  <c r="D23" i="34"/>
  <c r="C28" i="34"/>
  <c r="E28" i="34"/>
  <c r="E34" i="34"/>
  <c r="E21" i="34"/>
  <c r="E18" i="34" s="1"/>
  <c r="D21" i="34"/>
  <c r="D18" i="34" s="1"/>
  <c r="C18" i="34"/>
  <c r="C55" i="34"/>
  <c r="C17" i="34"/>
  <c r="C34" i="34"/>
  <c r="C23" i="34" l="1"/>
  <c r="E23" i="34"/>
  <c r="E17" i="34"/>
  <c r="E16" i="34" s="1"/>
  <c r="D17" i="34"/>
  <c r="D16" i="34" s="1"/>
  <c r="D41" i="34" s="1"/>
  <c r="C16" i="34"/>
  <c r="C41" i="34" l="1"/>
  <c r="E41" i="34" s="1"/>
  <c r="D56" i="34"/>
  <c r="C56" i="34" s="1"/>
  <c r="E56" i="34" s="1"/>
  <c r="D55" i="34"/>
  <c r="C44" i="33" l="1"/>
  <c r="D44" i="33" s="1"/>
  <c r="D43" i="33"/>
  <c r="C43" i="33" s="1"/>
  <c r="E43" i="33" s="1"/>
  <c r="C40" i="33"/>
  <c r="E40" i="33" s="1"/>
  <c r="C38" i="33"/>
  <c r="E38" i="33" s="1"/>
  <c r="C37" i="33"/>
  <c r="E37" i="33" s="1"/>
  <c r="C36" i="33"/>
  <c r="E36" i="33" s="1"/>
  <c r="C35" i="33"/>
  <c r="E35" i="33" s="1"/>
  <c r="D34" i="33"/>
  <c r="C33" i="33"/>
  <c r="E33" i="33" s="1"/>
  <c r="C32" i="33"/>
  <c r="E32" i="33" s="1"/>
  <c r="C31" i="33"/>
  <c r="E31" i="33" s="1"/>
  <c r="E30" i="33"/>
  <c r="D30" i="33"/>
  <c r="D28" i="33" s="1"/>
  <c r="C29" i="33"/>
  <c r="E29" i="33" s="1"/>
  <c r="E27" i="33"/>
  <c r="C27" i="33" s="1"/>
  <c r="D27" i="33" s="1"/>
  <c r="D24" i="33" s="1"/>
  <c r="C26" i="33"/>
  <c r="E26" i="33" s="1"/>
  <c r="C25" i="33"/>
  <c r="E25" i="33" s="1"/>
  <c r="C20" i="33"/>
  <c r="C19" i="33"/>
  <c r="C13" i="33"/>
  <c r="D11" i="33"/>
  <c r="D12" i="33" s="1"/>
  <c r="D23" i="33" l="1"/>
  <c r="E28" i="33"/>
  <c r="C34" i="33"/>
  <c r="E34" i="33"/>
  <c r="E24" i="33"/>
  <c r="C17" i="33"/>
  <c r="C21" i="33"/>
  <c r="D19" i="33"/>
  <c r="E20" i="33"/>
  <c r="E22" i="33"/>
  <c r="C22" i="33" s="1"/>
  <c r="D22" i="33" s="1"/>
  <c r="C24" i="33"/>
  <c r="C28" i="33"/>
  <c r="E23" i="33" l="1"/>
  <c r="E21" i="33"/>
  <c r="E18" i="33" s="1"/>
  <c r="D21" i="33"/>
  <c r="D18" i="33" s="1"/>
  <c r="E17" i="33"/>
  <c r="D17" i="33"/>
  <c r="C23" i="33"/>
  <c r="C18" i="33"/>
  <c r="D16" i="33" l="1"/>
  <c r="D41" i="33" s="1"/>
  <c r="C16" i="33"/>
  <c r="E16" i="33"/>
  <c r="C41" i="33" l="1"/>
  <c r="E41" i="33" s="1"/>
  <c r="D42" i="33"/>
  <c r="C42" i="33" s="1"/>
  <c r="E42" i="33" s="1"/>
  <c r="C59" i="32" l="1"/>
  <c r="D59" i="32" s="1"/>
  <c r="D63" i="32" s="1"/>
  <c r="D58" i="32"/>
  <c r="C58" i="32" s="1"/>
  <c r="E58" i="32" s="1"/>
  <c r="C40" i="32"/>
  <c r="E40" i="32" s="1"/>
  <c r="C38" i="32"/>
  <c r="E38" i="32" s="1"/>
  <c r="C37" i="32"/>
  <c r="E37" i="32" s="1"/>
  <c r="C36" i="32"/>
  <c r="E36" i="32" s="1"/>
  <c r="C35" i="32"/>
  <c r="E35" i="32" s="1"/>
  <c r="D34" i="32"/>
  <c r="C33" i="32"/>
  <c r="E33" i="32" s="1"/>
  <c r="C32" i="32"/>
  <c r="E32" i="32" s="1"/>
  <c r="C31" i="32"/>
  <c r="E31" i="32" s="1"/>
  <c r="E30" i="32"/>
  <c r="D30" i="32"/>
  <c r="D28" i="32" s="1"/>
  <c r="C29" i="32"/>
  <c r="E29" i="32" s="1"/>
  <c r="E27" i="32"/>
  <c r="C27" i="32" s="1"/>
  <c r="D27" i="32" s="1"/>
  <c r="D24" i="32" s="1"/>
  <c r="C26" i="32"/>
  <c r="E26" i="32" s="1"/>
  <c r="C25" i="32"/>
  <c r="C20" i="32"/>
  <c r="E20" i="32" s="1"/>
  <c r="C19" i="32"/>
  <c r="D19" i="32" s="1"/>
  <c r="C13" i="32"/>
  <c r="E22" i="32" s="1"/>
  <c r="C22" i="32" s="1"/>
  <c r="D22" i="32" s="1"/>
  <c r="D11" i="32"/>
  <c r="C45" i="31"/>
  <c r="C46" i="31"/>
  <c r="D46" i="31" s="1"/>
  <c r="C28" i="32" l="1"/>
  <c r="C24" i="32"/>
  <c r="E28" i="32"/>
  <c r="D23" i="32"/>
  <c r="C21" i="32"/>
  <c r="E21" i="32" s="1"/>
  <c r="E18" i="32" s="1"/>
  <c r="C17" i="32"/>
  <c r="E25" i="32"/>
  <c r="E24" i="32" s="1"/>
  <c r="D12" i="32"/>
  <c r="E34" i="32"/>
  <c r="E23" i="32" s="1"/>
  <c r="C34" i="32"/>
  <c r="D21" i="32" l="1"/>
  <c r="D18" i="32" s="1"/>
  <c r="C18" i="32"/>
  <c r="C23" i="32"/>
  <c r="E17" i="32"/>
  <c r="E16" i="32" s="1"/>
  <c r="D17" i="32"/>
  <c r="D16" i="32" s="1"/>
  <c r="D41" i="32" s="1"/>
  <c r="C16" i="32"/>
  <c r="C41" i="32" l="1"/>
  <c r="E41" i="32" s="1"/>
  <c r="D57" i="32"/>
  <c r="C57" i="32" s="1"/>
  <c r="E57" i="32" s="1"/>
  <c r="D45" i="31" l="1"/>
  <c r="D44" i="31"/>
  <c r="C44" i="31" s="1"/>
  <c r="E44" i="31" s="1"/>
  <c r="C40" i="31"/>
  <c r="E40" i="31" s="1"/>
  <c r="C38" i="31"/>
  <c r="E38" i="31" s="1"/>
  <c r="C37" i="31"/>
  <c r="E37" i="31" s="1"/>
  <c r="C36" i="31"/>
  <c r="E36" i="31" s="1"/>
  <c r="C35" i="31"/>
  <c r="D34" i="31"/>
  <c r="C33" i="31"/>
  <c r="E33" i="31" s="1"/>
  <c r="C32" i="31"/>
  <c r="E32" i="31" s="1"/>
  <c r="C31" i="31"/>
  <c r="E31" i="31" s="1"/>
  <c r="E30" i="31"/>
  <c r="D30" i="31"/>
  <c r="D28" i="31" s="1"/>
  <c r="C29" i="31"/>
  <c r="E29" i="31" s="1"/>
  <c r="E27" i="31"/>
  <c r="C27" i="31" s="1"/>
  <c r="D27" i="31" s="1"/>
  <c r="D24" i="31" s="1"/>
  <c r="C26" i="31"/>
  <c r="E26" i="31" s="1"/>
  <c r="C25" i="31"/>
  <c r="E25" i="31" s="1"/>
  <c r="C20" i="31"/>
  <c r="C19" i="31"/>
  <c r="C13" i="31"/>
  <c r="D11" i="31"/>
  <c r="C21" i="31" s="1"/>
  <c r="C45" i="30"/>
  <c r="D45" i="30" s="1"/>
  <c r="D44" i="30"/>
  <c r="C44" i="30" s="1"/>
  <c r="E44" i="30" s="1"/>
  <c r="C40" i="30"/>
  <c r="E40" i="30" s="1"/>
  <c r="C38" i="30"/>
  <c r="E38" i="30" s="1"/>
  <c r="C37" i="30"/>
  <c r="E37" i="30" s="1"/>
  <c r="C36" i="30"/>
  <c r="E36" i="30" s="1"/>
  <c r="C35" i="30"/>
  <c r="D34" i="30"/>
  <c r="C33" i="30"/>
  <c r="E33" i="30" s="1"/>
  <c r="C32" i="30"/>
  <c r="E32" i="30" s="1"/>
  <c r="C31" i="30"/>
  <c r="E31" i="30" s="1"/>
  <c r="E30" i="30"/>
  <c r="D30" i="30"/>
  <c r="D28" i="30" s="1"/>
  <c r="C29" i="30"/>
  <c r="E29" i="30" s="1"/>
  <c r="E27" i="30"/>
  <c r="C27" i="30" s="1"/>
  <c r="D27" i="30" s="1"/>
  <c r="D24" i="30" s="1"/>
  <c r="C26" i="30"/>
  <c r="E26" i="30" s="1"/>
  <c r="C25" i="30"/>
  <c r="E25" i="30" s="1"/>
  <c r="C20" i="30"/>
  <c r="C19" i="30"/>
  <c r="C13" i="30"/>
  <c r="D11" i="30"/>
  <c r="C21" i="30" s="1"/>
  <c r="E24" i="30" l="1"/>
  <c r="C34" i="30"/>
  <c r="E28" i="30"/>
  <c r="D23" i="30"/>
  <c r="C34" i="31"/>
  <c r="E28" i="31"/>
  <c r="D23" i="31"/>
  <c r="E35" i="30"/>
  <c r="E34" i="30" s="1"/>
  <c r="E35" i="31"/>
  <c r="E34" i="31" s="1"/>
  <c r="C17" i="30"/>
  <c r="E21" i="31"/>
  <c r="D21" i="31"/>
  <c r="E24" i="31"/>
  <c r="D12" i="31"/>
  <c r="C18" i="31"/>
  <c r="D19" i="31"/>
  <c r="E20" i="31"/>
  <c r="E22" i="31"/>
  <c r="C22" i="31" s="1"/>
  <c r="D22" i="31" s="1"/>
  <c r="C24" i="31"/>
  <c r="C28" i="31"/>
  <c r="C17" i="31"/>
  <c r="D21" i="30"/>
  <c r="E21" i="30"/>
  <c r="D12" i="30"/>
  <c r="C18" i="30"/>
  <c r="D19" i="30"/>
  <c r="E20" i="30"/>
  <c r="E22" i="30"/>
  <c r="C22" i="30" s="1"/>
  <c r="D22" i="30" s="1"/>
  <c r="C24" i="30"/>
  <c r="C28" i="30"/>
  <c r="E23" i="30" l="1"/>
  <c r="C23" i="31"/>
  <c r="E18" i="31"/>
  <c r="E23" i="31"/>
  <c r="E17" i="31"/>
  <c r="E16" i="31" s="1"/>
  <c r="D17" i="31"/>
  <c r="C16" i="31"/>
  <c r="D18" i="31"/>
  <c r="D17" i="30"/>
  <c r="C16" i="30"/>
  <c r="E17" i="30"/>
  <c r="D18" i="30"/>
  <c r="C23" i="30"/>
  <c r="E18" i="30"/>
  <c r="E16" i="30" l="1"/>
  <c r="D16" i="30"/>
  <c r="D41" i="30" s="1"/>
  <c r="C41" i="30" s="1"/>
  <c r="E41" i="30" s="1"/>
  <c r="D16" i="31"/>
  <c r="D41" i="31" s="1"/>
  <c r="D43" i="30" l="1"/>
  <c r="C43" i="30" s="1"/>
  <c r="E43" i="30" s="1"/>
  <c r="C41" i="31"/>
  <c r="E41" i="31" s="1"/>
  <c r="D43" i="31"/>
  <c r="C43" i="31" s="1"/>
  <c r="E43" i="31" s="1"/>
  <c r="C59" i="29"/>
  <c r="D59" i="29" s="1"/>
  <c r="D63" i="29" s="1"/>
  <c r="D58" i="29"/>
  <c r="C58" i="29" s="1"/>
  <c r="E58" i="29" s="1"/>
  <c r="C40" i="29"/>
  <c r="E40" i="29" s="1"/>
  <c r="C38" i="29"/>
  <c r="E38" i="29" s="1"/>
  <c r="C37" i="29"/>
  <c r="E37" i="29" s="1"/>
  <c r="C36" i="29"/>
  <c r="E36" i="29" s="1"/>
  <c r="C35" i="29"/>
  <c r="E35" i="29" s="1"/>
  <c r="D34" i="29"/>
  <c r="C33" i="29"/>
  <c r="E33" i="29" s="1"/>
  <c r="C32" i="29"/>
  <c r="E32" i="29" s="1"/>
  <c r="C31" i="29"/>
  <c r="E31" i="29" s="1"/>
  <c r="E30" i="29"/>
  <c r="D30" i="29"/>
  <c r="D28" i="29" s="1"/>
  <c r="C29" i="29"/>
  <c r="E29" i="29" s="1"/>
  <c r="E27" i="29"/>
  <c r="C27" i="29" s="1"/>
  <c r="D27" i="29" s="1"/>
  <c r="D24" i="29" s="1"/>
  <c r="C26" i="29"/>
  <c r="E26" i="29" s="1"/>
  <c r="C25" i="29"/>
  <c r="C20" i="29"/>
  <c r="E20" i="29" s="1"/>
  <c r="C19" i="29"/>
  <c r="D19" i="29" s="1"/>
  <c r="C13" i="29"/>
  <c r="E22" i="29" s="1"/>
  <c r="C22" i="29" s="1"/>
  <c r="D22" i="29" s="1"/>
  <c r="D11" i="29"/>
  <c r="C21" i="29" s="1"/>
  <c r="C28" i="29" l="1"/>
  <c r="C24" i="29"/>
  <c r="E25" i="29"/>
  <c r="E24" i="29" s="1"/>
  <c r="D12" i="29"/>
  <c r="E28" i="29"/>
  <c r="D23" i="29"/>
  <c r="E21" i="29"/>
  <c r="E18" i="29" s="1"/>
  <c r="D21" i="29"/>
  <c r="D18" i="29" s="1"/>
  <c r="C18" i="29"/>
  <c r="E34" i="29"/>
  <c r="C17" i="29"/>
  <c r="C34" i="29"/>
  <c r="E23" i="29" l="1"/>
  <c r="C23" i="29"/>
  <c r="E17" i="29"/>
  <c r="E16" i="29" s="1"/>
  <c r="D17" i="29"/>
  <c r="D16" i="29" s="1"/>
  <c r="D41" i="29" s="1"/>
  <c r="C16" i="29"/>
  <c r="C41" i="29" l="1"/>
  <c r="E41" i="29" s="1"/>
  <c r="D57" i="29"/>
  <c r="C57" i="29" s="1"/>
  <c r="E57" i="29" s="1"/>
  <c r="C59" i="28" l="1"/>
  <c r="D59" i="28" s="1"/>
  <c r="D63" i="28" s="1"/>
  <c r="D58" i="28"/>
  <c r="C58" i="28" s="1"/>
  <c r="E58" i="28" s="1"/>
  <c r="C40" i="28"/>
  <c r="E40" i="28" s="1"/>
  <c r="C38" i="28"/>
  <c r="E38" i="28" s="1"/>
  <c r="C37" i="28"/>
  <c r="E37" i="28" s="1"/>
  <c r="C36" i="28"/>
  <c r="E36" i="28" s="1"/>
  <c r="C35" i="28"/>
  <c r="E35" i="28" s="1"/>
  <c r="D34" i="28"/>
  <c r="C33" i="28"/>
  <c r="E33" i="28" s="1"/>
  <c r="C32" i="28"/>
  <c r="E32" i="28" s="1"/>
  <c r="C31" i="28"/>
  <c r="E31" i="28" s="1"/>
  <c r="E30" i="28"/>
  <c r="D30" i="28"/>
  <c r="D28" i="28" s="1"/>
  <c r="C29" i="28"/>
  <c r="E29" i="28" s="1"/>
  <c r="E27" i="28"/>
  <c r="C27" i="28" s="1"/>
  <c r="D27" i="28" s="1"/>
  <c r="D24" i="28" s="1"/>
  <c r="C26" i="28"/>
  <c r="E26" i="28" s="1"/>
  <c r="C25" i="28"/>
  <c r="E25" i="28" s="1"/>
  <c r="E24" i="28" s="1"/>
  <c r="C20" i="28"/>
  <c r="E20" i="28" s="1"/>
  <c r="C19" i="28"/>
  <c r="D19" i="28" s="1"/>
  <c r="C13" i="28"/>
  <c r="E22" i="28" s="1"/>
  <c r="C22" i="28" s="1"/>
  <c r="D22" i="28" s="1"/>
  <c r="D11" i="28"/>
  <c r="D12" i="28" s="1"/>
  <c r="E28" i="28" l="1"/>
  <c r="D23" i="28"/>
  <c r="C34" i="28"/>
  <c r="E34" i="28"/>
  <c r="C17" i="28"/>
  <c r="C21" i="28"/>
  <c r="C24" i="28"/>
  <c r="C28" i="28"/>
  <c r="E23" i="28" l="1"/>
  <c r="C23" i="28"/>
  <c r="D21" i="28"/>
  <c r="D18" i="28" s="1"/>
  <c r="E21" i="28"/>
  <c r="E18" i="28" s="1"/>
  <c r="D17" i="28"/>
  <c r="E17" i="28"/>
  <c r="C18" i="28"/>
  <c r="D16" i="28" l="1"/>
  <c r="D41" i="28" s="1"/>
  <c r="D57" i="28" s="1"/>
  <c r="C57" i="28" s="1"/>
  <c r="E57" i="28" s="1"/>
  <c r="E16" i="28"/>
  <c r="C16" i="28"/>
  <c r="C41" i="28" l="1"/>
  <c r="E41" i="28" s="1"/>
  <c r="C59" i="27"/>
  <c r="D59" i="27" s="1"/>
  <c r="D63" i="27" s="1"/>
  <c r="D58" i="27"/>
  <c r="C58" i="27" s="1"/>
  <c r="E58" i="27" s="1"/>
  <c r="C40" i="27"/>
  <c r="E40" i="27" s="1"/>
  <c r="C38" i="27"/>
  <c r="E38" i="27" s="1"/>
  <c r="C37" i="27"/>
  <c r="E37" i="27" s="1"/>
  <c r="C36" i="27"/>
  <c r="E36" i="27" s="1"/>
  <c r="C35" i="27"/>
  <c r="E35" i="27" s="1"/>
  <c r="D34" i="27"/>
  <c r="C33" i="27"/>
  <c r="E33" i="27" s="1"/>
  <c r="C32" i="27"/>
  <c r="E32" i="27" s="1"/>
  <c r="C31" i="27"/>
  <c r="E31" i="27" s="1"/>
  <c r="E30" i="27"/>
  <c r="D30" i="27"/>
  <c r="D28" i="27" s="1"/>
  <c r="C29" i="27"/>
  <c r="E29" i="27" s="1"/>
  <c r="E27" i="27"/>
  <c r="C27" i="27" s="1"/>
  <c r="D27" i="27" s="1"/>
  <c r="D24" i="27" s="1"/>
  <c r="C26" i="27"/>
  <c r="E26" i="27" s="1"/>
  <c r="C25" i="27"/>
  <c r="E25" i="27" s="1"/>
  <c r="C20" i="27"/>
  <c r="E20" i="27" s="1"/>
  <c r="C19" i="27"/>
  <c r="D19" i="27" s="1"/>
  <c r="C13" i="27"/>
  <c r="E22" i="27" s="1"/>
  <c r="C22" i="27" s="1"/>
  <c r="D22" i="27" s="1"/>
  <c r="D11" i="27"/>
  <c r="C61" i="26"/>
  <c r="D61" i="26" s="1"/>
  <c r="C60" i="26"/>
  <c r="D60" i="26" s="1"/>
  <c r="C59" i="26"/>
  <c r="D59" i="26" s="1"/>
  <c r="D58" i="26"/>
  <c r="C58" i="26" s="1"/>
  <c r="E58" i="26" s="1"/>
  <c r="C40" i="26"/>
  <c r="E40" i="26" s="1"/>
  <c r="C38" i="26"/>
  <c r="E38" i="26" s="1"/>
  <c r="C37" i="26"/>
  <c r="E37" i="26" s="1"/>
  <c r="C36" i="26"/>
  <c r="E36" i="26" s="1"/>
  <c r="C35" i="26"/>
  <c r="E35" i="26" s="1"/>
  <c r="D34" i="26"/>
  <c r="C33" i="26"/>
  <c r="E33" i="26" s="1"/>
  <c r="C32" i="26"/>
  <c r="E32" i="26" s="1"/>
  <c r="C31" i="26"/>
  <c r="E31" i="26" s="1"/>
  <c r="E30" i="26"/>
  <c r="D30" i="26"/>
  <c r="D28" i="26" s="1"/>
  <c r="C29" i="26"/>
  <c r="E29" i="26" s="1"/>
  <c r="E27" i="26"/>
  <c r="C27" i="26" s="1"/>
  <c r="D27" i="26" s="1"/>
  <c r="D24" i="26" s="1"/>
  <c r="C26" i="26"/>
  <c r="E26" i="26" s="1"/>
  <c r="C25" i="26"/>
  <c r="E25" i="26" s="1"/>
  <c r="C20" i="26"/>
  <c r="E20" i="26" s="1"/>
  <c r="C19" i="26"/>
  <c r="D19" i="26" s="1"/>
  <c r="C13" i="26"/>
  <c r="E22" i="26" s="1"/>
  <c r="C22" i="26" s="1"/>
  <c r="D22" i="26" s="1"/>
  <c r="D11" i="26"/>
  <c r="D12" i="26" s="1"/>
  <c r="E27" i="25"/>
  <c r="D63" i="26" l="1"/>
  <c r="E24" i="27"/>
  <c r="D23" i="27"/>
  <c r="D12" i="27"/>
  <c r="C17" i="27"/>
  <c r="C17" i="26"/>
  <c r="C34" i="27"/>
  <c r="E34" i="27"/>
  <c r="E28" i="27"/>
  <c r="C21" i="27"/>
  <c r="C18" i="27" s="1"/>
  <c r="C24" i="27"/>
  <c r="C28" i="27"/>
  <c r="D23" i="26"/>
  <c r="C34" i="26"/>
  <c r="E34" i="26"/>
  <c r="E24" i="26"/>
  <c r="E28" i="26"/>
  <c r="C21" i="26"/>
  <c r="C18" i="26" s="1"/>
  <c r="C24" i="26"/>
  <c r="C28" i="26"/>
  <c r="E23" i="27" l="1"/>
  <c r="E23" i="26"/>
  <c r="D21" i="27"/>
  <c r="D18" i="27" s="1"/>
  <c r="E21" i="27"/>
  <c r="E18" i="27" s="1"/>
  <c r="D17" i="27"/>
  <c r="C16" i="27"/>
  <c r="E17" i="27"/>
  <c r="C23" i="27"/>
  <c r="C23" i="26"/>
  <c r="D17" i="26"/>
  <c r="C16" i="26"/>
  <c r="E17" i="26"/>
  <c r="D21" i="26"/>
  <c r="D18" i="26" s="1"/>
  <c r="E21" i="26"/>
  <c r="E18" i="26" s="1"/>
  <c r="E16" i="27" l="1"/>
  <c r="D16" i="27"/>
  <c r="D41" i="27" s="1"/>
  <c r="C41" i="27" s="1"/>
  <c r="E41" i="27" s="1"/>
  <c r="E16" i="26"/>
  <c r="D16" i="26"/>
  <c r="D41" i="26" s="1"/>
  <c r="D57" i="27" l="1"/>
  <c r="C57" i="27" s="1"/>
  <c r="E57" i="27" s="1"/>
  <c r="D57" i="26"/>
  <c r="C57" i="26" s="1"/>
  <c r="E57" i="26" s="1"/>
  <c r="C41" i="26"/>
  <c r="E41" i="26" s="1"/>
  <c r="C59" i="25" l="1"/>
  <c r="D59" i="25" s="1"/>
  <c r="D63" i="25" s="1"/>
  <c r="D58" i="25"/>
  <c r="C58" i="25" s="1"/>
  <c r="E58" i="25" s="1"/>
  <c r="C40" i="25"/>
  <c r="E40" i="25" s="1"/>
  <c r="C38" i="25"/>
  <c r="E38" i="25" s="1"/>
  <c r="C37" i="25"/>
  <c r="E37" i="25" s="1"/>
  <c r="C36" i="25"/>
  <c r="E36" i="25" s="1"/>
  <c r="C35" i="25"/>
  <c r="E35" i="25" s="1"/>
  <c r="D34" i="25"/>
  <c r="C34" i="25"/>
  <c r="C33" i="25"/>
  <c r="E33" i="25" s="1"/>
  <c r="C32" i="25"/>
  <c r="E32" i="25" s="1"/>
  <c r="C31" i="25"/>
  <c r="E31" i="25" s="1"/>
  <c r="E30" i="25"/>
  <c r="D30" i="25"/>
  <c r="D28" i="25" s="1"/>
  <c r="C29" i="25"/>
  <c r="E29" i="25" s="1"/>
  <c r="C27" i="25"/>
  <c r="D27" i="25" s="1"/>
  <c r="D24" i="25" s="1"/>
  <c r="C26" i="25"/>
  <c r="E26" i="25" s="1"/>
  <c r="C25" i="25"/>
  <c r="E25" i="25" s="1"/>
  <c r="C20" i="25"/>
  <c r="E20" i="25" s="1"/>
  <c r="C19" i="25"/>
  <c r="D19" i="25" s="1"/>
  <c r="C13" i="25"/>
  <c r="E22" i="25" s="1"/>
  <c r="C22" i="25" s="1"/>
  <c r="D22" i="25" s="1"/>
  <c r="D11" i="25"/>
  <c r="E27" i="24"/>
  <c r="D12" i="25" l="1"/>
  <c r="C17" i="25"/>
  <c r="D23" i="25"/>
  <c r="E34" i="25"/>
  <c r="E28" i="25"/>
  <c r="E24" i="25"/>
  <c r="C21" i="25"/>
  <c r="C18" i="25" s="1"/>
  <c r="C24" i="25"/>
  <c r="C28" i="25"/>
  <c r="E23" i="25" l="1"/>
  <c r="D21" i="25"/>
  <c r="D18" i="25" s="1"/>
  <c r="E21" i="25"/>
  <c r="E18" i="25" s="1"/>
  <c r="D17" i="25"/>
  <c r="C16" i="25"/>
  <c r="E17" i="25"/>
  <c r="C23" i="25"/>
  <c r="D16" i="25" l="1"/>
  <c r="D41" i="25" s="1"/>
  <c r="C41" i="25" s="1"/>
  <c r="E41" i="25" s="1"/>
  <c r="E16" i="25"/>
  <c r="D57" i="25" l="1"/>
  <c r="C57" i="25" s="1"/>
  <c r="E57" i="25" s="1"/>
  <c r="C45" i="24"/>
  <c r="D45" i="24" s="1"/>
  <c r="D44" i="24"/>
  <c r="C44" i="24" s="1"/>
  <c r="E44" i="24" s="1"/>
  <c r="C40" i="24"/>
  <c r="E40" i="24" s="1"/>
  <c r="C38" i="24"/>
  <c r="E38" i="24" s="1"/>
  <c r="C37" i="24"/>
  <c r="E37" i="24" s="1"/>
  <c r="C36" i="24"/>
  <c r="E36" i="24" s="1"/>
  <c r="C35" i="24"/>
  <c r="E35" i="24" s="1"/>
  <c r="D34" i="24"/>
  <c r="C33" i="24"/>
  <c r="E33" i="24" s="1"/>
  <c r="C32" i="24"/>
  <c r="E32" i="24" s="1"/>
  <c r="C31" i="24"/>
  <c r="E31" i="24" s="1"/>
  <c r="E30" i="24"/>
  <c r="D30" i="24"/>
  <c r="D28" i="24" s="1"/>
  <c r="C29" i="24"/>
  <c r="E29" i="24" s="1"/>
  <c r="C27" i="24"/>
  <c r="D27" i="24" s="1"/>
  <c r="D24" i="24" s="1"/>
  <c r="C26" i="24"/>
  <c r="E26" i="24" s="1"/>
  <c r="C25" i="24"/>
  <c r="E25" i="24" s="1"/>
  <c r="C20" i="24"/>
  <c r="E20" i="24" s="1"/>
  <c r="C19" i="24"/>
  <c r="D19" i="24" s="1"/>
  <c r="C13" i="24"/>
  <c r="E22" i="24" s="1"/>
  <c r="C22" i="24" s="1"/>
  <c r="D22" i="24" s="1"/>
  <c r="D11" i="24"/>
  <c r="E27" i="23"/>
  <c r="E28" i="24" l="1"/>
  <c r="D12" i="24"/>
  <c r="C17" i="24"/>
  <c r="D23" i="24"/>
  <c r="C34" i="24"/>
  <c r="E34" i="24"/>
  <c r="E24" i="24"/>
  <c r="C21" i="24"/>
  <c r="C18" i="24" s="1"/>
  <c r="C24" i="24"/>
  <c r="C28" i="24"/>
  <c r="E23" i="24" l="1"/>
  <c r="D21" i="24"/>
  <c r="D18" i="24" s="1"/>
  <c r="E21" i="24"/>
  <c r="E18" i="24" s="1"/>
  <c r="D17" i="24"/>
  <c r="C16" i="24"/>
  <c r="E17" i="24"/>
  <c r="C23" i="24"/>
  <c r="D16" i="24" l="1"/>
  <c r="D41" i="24" s="1"/>
  <c r="D43" i="24" s="1"/>
  <c r="C43" i="24" s="1"/>
  <c r="E43" i="24" s="1"/>
  <c r="E16" i="24"/>
  <c r="C41" i="24" l="1"/>
  <c r="E41" i="24" s="1"/>
  <c r="C59" i="23"/>
  <c r="D59" i="23" s="1"/>
  <c r="D62" i="23" s="1"/>
  <c r="D58" i="23"/>
  <c r="C58" i="23" s="1"/>
  <c r="E58" i="23" s="1"/>
  <c r="C40" i="23"/>
  <c r="E40" i="23" s="1"/>
  <c r="C38" i="23"/>
  <c r="E38" i="23" s="1"/>
  <c r="C37" i="23"/>
  <c r="E37" i="23" s="1"/>
  <c r="C36" i="23"/>
  <c r="E36" i="23" s="1"/>
  <c r="C35" i="23"/>
  <c r="E35" i="23" s="1"/>
  <c r="D34" i="23"/>
  <c r="C33" i="23"/>
  <c r="E33" i="23" s="1"/>
  <c r="C32" i="23"/>
  <c r="E32" i="23" s="1"/>
  <c r="C31" i="23"/>
  <c r="E31" i="23" s="1"/>
  <c r="E30" i="23"/>
  <c r="D30" i="23"/>
  <c r="D28" i="23" s="1"/>
  <c r="C29" i="23"/>
  <c r="E29" i="23" s="1"/>
  <c r="C27" i="23"/>
  <c r="D27" i="23" s="1"/>
  <c r="D24" i="23" s="1"/>
  <c r="C26" i="23"/>
  <c r="E26" i="23" s="1"/>
  <c r="C25" i="23"/>
  <c r="E25" i="23" s="1"/>
  <c r="C20" i="23"/>
  <c r="E20" i="23" s="1"/>
  <c r="C19" i="23"/>
  <c r="D19" i="23" s="1"/>
  <c r="C13" i="23"/>
  <c r="D48" i="23" s="1"/>
  <c r="D11" i="23"/>
  <c r="E27" i="22"/>
  <c r="E22" i="23" l="1"/>
  <c r="C22" i="23" s="1"/>
  <c r="D22" i="23" s="1"/>
  <c r="D56" i="23"/>
  <c r="C34" i="23"/>
  <c r="E28" i="23"/>
  <c r="D23" i="23"/>
  <c r="D12" i="23"/>
  <c r="C17" i="23"/>
  <c r="E34" i="23"/>
  <c r="E24" i="23"/>
  <c r="C21" i="23"/>
  <c r="C24" i="23"/>
  <c r="C28" i="23"/>
  <c r="C23" i="23" l="1"/>
  <c r="E23" i="23"/>
  <c r="D21" i="23"/>
  <c r="D18" i="23" s="1"/>
  <c r="E21" i="23"/>
  <c r="E18" i="23" s="1"/>
  <c r="D17" i="23"/>
  <c r="E17" i="23"/>
  <c r="C18" i="23"/>
  <c r="D16" i="23" l="1"/>
  <c r="D41" i="23" s="1"/>
  <c r="D57" i="23" s="1"/>
  <c r="C57" i="23" s="1"/>
  <c r="E57" i="23" s="1"/>
  <c r="E16" i="23"/>
  <c r="C16" i="23"/>
  <c r="C41" i="23" l="1"/>
  <c r="E41" i="23" s="1"/>
  <c r="C59" i="22"/>
  <c r="D59" i="22" s="1"/>
  <c r="D58" i="22"/>
  <c r="C58" i="22" s="1"/>
  <c r="E58" i="22" s="1"/>
  <c r="C40" i="22"/>
  <c r="E40" i="22" s="1"/>
  <c r="C38" i="22"/>
  <c r="E38" i="22" s="1"/>
  <c r="C37" i="22"/>
  <c r="E37" i="22" s="1"/>
  <c r="C36" i="22"/>
  <c r="E36" i="22" s="1"/>
  <c r="C35" i="22"/>
  <c r="D34" i="22"/>
  <c r="C33" i="22"/>
  <c r="E33" i="22" s="1"/>
  <c r="C32" i="22"/>
  <c r="E32" i="22" s="1"/>
  <c r="C31" i="22"/>
  <c r="E31" i="22" s="1"/>
  <c r="E30" i="22"/>
  <c r="D30" i="22"/>
  <c r="D28" i="22" s="1"/>
  <c r="C29" i="22"/>
  <c r="E29" i="22" s="1"/>
  <c r="C27" i="22"/>
  <c r="D27" i="22" s="1"/>
  <c r="D24" i="22" s="1"/>
  <c r="C26" i="22"/>
  <c r="E26" i="22" s="1"/>
  <c r="C25" i="22"/>
  <c r="E25" i="22" s="1"/>
  <c r="C20" i="22"/>
  <c r="E20" i="22" s="1"/>
  <c r="C19" i="22"/>
  <c r="D19" i="22" s="1"/>
  <c r="C13" i="22"/>
  <c r="E22" i="22" s="1"/>
  <c r="C22" i="22" s="1"/>
  <c r="D22" i="22" s="1"/>
  <c r="D11" i="22"/>
  <c r="E27" i="21"/>
  <c r="C59" i="21"/>
  <c r="D59" i="21" s="1"/>
  <c r="D63" i="21" s="1"/>
  <c r="D58" i="21"/>
  <c r="C58" i="21" s="1"/>
  <c r="E58" i="21" s="1"/>
  <c r="C40" i="21"/>
  <c r="E40" i="21" s="1"/>
  <c r="C38" i="21"/>
  <c r="E38" i="21" s="1"/>
  <c r="C37" i="21"/>
  <c r="E37" i="21" s="1"/>
  <c r="C36" i="21"/>
  <c r="E36" i="21" s="1"/>
  <c r="C35" i="21"/>
  <c r="E35" i="21" s="1"/>
  <c r="D34" i="21"/>
  <c r="C33" i="21"/>
  <c r="E33" i="21" s="1"/>
  <c r="C32" i="21"/>
  <c r="E32" i="21" s="1"/>
  <c r="C31" i="21"/>
  <c r="E31" i="21" s="1"/>
  <c r="E30" i="21"/>
  <c r="D30" i="21"/>
  <c r="D28" i="21" s="1"/>
  <c r="C29" i="21"/>
  <c r="E29" i="21" s="1"/>
  <c r="C27" i="21"/>
  <c r="D27" i="21" s="1"/>
  <c r="D24" i="21" s="1"/>
  <c r="C26" i="21"/>
  <c r="E26" i="21" s="1"/>
  <c r="C25" i="21"/>
  <c r="E25" i="21" s="1"/>
  <c r="C20" i="21"/>
  <c r="E20" i="21" s="1"/>
  <c r="C19" i="21"/>
  <c r="D19" i="21" s="1"/>
  <c r="C13" i="21"/>
  <c r="E22" i="21" s="1"/>
  <c r="C22" i="21" s="1"/>
  <c r="D22" i="21" s="1"/>
  <c r="D11" i="21"/>
  <c r="D12" i="21" s="1"/>
  <c r="E27" i="20"/>
  <c r="C34" i="22" l="1"/>
  <c r="C34" i="21"/>
  <c r="D23" i="21"/>
  <c r="E28" i="21"/>
  <c r="E28" i="22"/>
  <c r="D23" i="22"/>
  <c r="D12" i="22"/>
  <c r="C17" i="22"/>
  <c r="E35" i="22"/>
  <c r="E34" i="22" s="1"/>
  <c r="C17" i="21"/>
  <c r="D63" i="22"/>
  <c r="E24" i="22"/>
  <c r="C21" i="22"/>
  <c r="C18" i="22" s="1"/>
  <c r="C24" i="22"/>
  <c r="C28" i="22"/>
  <c r="E34" i="21"/>
  <c r="E24" i="21"/>
  <c r="C21" i="21"/>
  <c r="C24" i="21"/>
  <c r="C28" i="21"/>
  <c r="E23" i="21" l="1"/>
  <c r="C23" i="21"/>
  <c r="E23" i="22"/>
  <c r="D21" i="22"/>
  <c r="D18" i="22" s="1"/>
  <c r="E21" i="22"/>
  <c r="E18" i="22" s="1"/>
  <c r="D17" i="22"/>
  <c r="C16" i="22"/>
  <c r="E17" i="22"/>
  <c r="C23" i="22"/>
  <c r="D21" i="21"/>
  <c r="D18" i="21" s="1"/>
  <c r="E21" i="21"/>
  <c r="E18" i="21" s="1"/>
  <c r="D17" i="21"/>
  <c r="E17" i="21"/>
  <c r="C18" i="21"/>
  <c r="E16" i="22" l="1"/>
  <c r="D16" i="21"/>
  <c r="D41" i="21" s="1"/>
  <c r="D57" i="21" s="1"/>
  <c r="C57" i="21" s="1"/>
  <c r="E57" i="21" s="1"/>
  <c r="D16" i="22"/>
  <c r="D41" i="22" s="1"/>
  <c r="C41" i="22" s="1"/>
  <c r="E41" i="22" s="1"/>
  <c r="E16" i="21"/>
  <c r="C16" i="21"/>
  <c r="D57" i="22" l="1"/>
  <c r="C57" i="22" s="1"/>
  <c r="E57" i="22" s="1"/>
  <c r="C41" i="21"/>
  <c r="E41" i="21" s="1"/>
  <c r="C58" i="20"/>
  <c r="D57" i="20"/>
  <c r="C57" i="20" s="1"/>
  <c r="E57" i="20" s="1"/>
  <c r="C40" i="20"/>
  <c r="E40" i="20" s="1"/>
  <c r="C38" i="20"/>
  <c r="E38" i="20" s="1"/>
  <c r="C37" i="20"/>
  <c r="E37" i="20" s="1"/>
  <c r="C36" i="20"/>
  <c r="E36" i="20" s="1"/>
  <c r="C35" i="20"/>
  <c r="E35" i="20" s="1"/>
  <c r="D34" i="20"/>
  <c r="C33" i="20"/>
  <c r="E33" i="20" s="1"/>
  <c r="C32" i="20"/>
  <c r="E32" i="20" s="1"/>
  <c r="C31" i="20"/>
  <c r="E31" i="20" s="1"/>
  <c r="E30" i="20"/>
  <c r="D30" i="20"/>
  <c r="D28" i="20" s="1"/>
  <c r="C29" i="20"/>
  <c r="E29" i="20" s="1"/>
  <c r="C27" i="20"/>
  <c r="D27" i="20" s="1"/>
  <c r="D24" i="20" s="1"/>
  <c r="C26" i="20"/>
  <c r="E26" i="20" s="1"/>
  <c r="C25" i="20"/>
  <c r="E25" i="20" s="1"/>
  <c r="C20" i="20"/>
  <c r="E20" i="20" s="1"/>
  <c r="C19" i="20"/>
  <c r="D19" i="20" s="1"/>
  <c r="C13" i="20"/>
  <c r="E22" i="20" s="1"/>
  <c r="C22" i="20" s="1"/>
  <c r="D22" i="20" s="1"/>
  <c r="D11" i="20"/>
  <c r="E27" i="19"/>
  <c r="C59" i="19"/>
  <c r="D59" i="19" s="1"/>
  <c r="D58" i="19"/>
  <c r="C58" i="19" s="1"/>
  <c r="E58" i="19" s="1"/>
  <c r="C40" i="19"/>
  <c r="E40" i="19" s="1"/>
  <c r="C38" i="19"/>
  <c r="E38" i="19" s="1"/>
  <c r="C37" i="19"/>
  <c r="E37" i="19" s="1"/>
  <c r="C36" i="19"/>
  <c r="E36" i="19" s="1"/>
  <c r="C35" i="19"/>
  <c r="D34" i="19"/>
  <c r="C33" i="19"/>
  <c r="E33" i="19" s="1"/>
  <c r="C32" i="19"/>
  <c r="E32" i="19" s="1"/>
  <c r="C31" i="19"/>
  <c r="E31" i="19" s="1"/>
  <c r="E30" i="19"/>
  <c r="D30" i="19"/>
  <c r="D28" i="19" s="1"/>
  <c r="C29" i="19"/>
  <c r="E29" i="19" s="1"/>
  <c r="C27" i="19"/>
  <c r="D27" i="19" s="1"/>
  <c r="D24" i="19" s="1"/>
  <c r="C26" i="19"/>
  <c r="E26" i="19" s="1"/>
  <c r="C25" i="19"/>
  <c r="E25" i="19" s="1"/>
  <c r="E24" i="19" s="1"/>
  <c r="C20" i="19"/>
  <c r="E20" i="19" s="1"/>
  <c r="C19" i="19"/>
  <c r="D19" i="19" s="1"/>
  <c r="C13" i="19"/>
  <c r="E22" i="19" s="1"/>
  <c r="C22" i="19" s="1"/>
  <c r="D22" i="19" s="1"/>
  <c r="D11" i="19"/>
  <c r="D12" i="19" s="1"/>
  <c r="E27" i="18"/>
  <c r="C34" i="19" l="1"/>
  <c r="D23" i="19"/>
  <c r="E28" i="19"/>
  <c r="E35" i="19"/>
  <c r="E34" i="19" s="1"/>
  <c r="C17" i="19"/>
  <c r="D12" i="20"/>
  <c r="C17" i="20"/>
  <c r="D58" i="20"/>
  <c r="D62" i="20" s="1"/>
  <c r="D63" i="19"/>
  <c r="D23" i="20"/>
  <c r="E34" i="20"/>
  <c r="E28" i="20"/>
  <c r="C34" i="20"/>
  <c r="E24" i="20"/>
  <c r="C21" i="20"/>
  <c r="C18" i="20" s="1"/>
  <c r="C24" i="20"/>
  <c r="C28" i="20"/>
  <c r="C21" i="19"/>
  <c r="C24" i="19"/>
  <c r="C28" i="19"/>
  <c r="E23" i="19" l="1"/>
  <c r="C23" i="19"/>
  <c r="C23" i="20"/>
  <c r="E23" i="20"/>
  <c r="D17" i="20"/>
  <c r="C16" i="20"/>
  <c r="E17" i="20"/>
  <c r="D21" i="20"/>
  <c r="D18" i="20" s="1"/>
  <c r="E21" i="20"/>
  <c r="E18" i="20" s="1"/>
  <c r="D21" i="19"/>
  <c r="D18" i="19" s="1"/>
  <c r="E21" i="19"/>
  <c r="E18" i="19" s="1"/>
  <c r="D17" i="19"/>
  <c r="E17" i="19"/>
  <c r="C18" i="19"/>
  <c r="D16" i="19" l="1"/>
  <c r="D41" i="19" s="1"/>
  <c r="D57" i="19" s="1"/>
  <c r="D16" i="20"/>
  <c r="D41" i="20" s="1"/>
  <c r="E16" i="20"/>
  <c r="E16" i="19"/>
  <c r="C16" i="19"/>
  <c r="C57" i="19" l="1"/>
  <c r="E57" i="19" s="1"/>
  <c r="C41" i="19"/>
  <c r="E41" i="19" s="1"/>
  <c r="D56" i="20"/>
  <c r="C56" i="20" s="1"/>
  <c r="E56" i="20" s="1"/>
  <c r="C41" i="20"/>
  <c r="E41" i="20" s="1"/>
  <c r="C59" i="18"/>
  <c r="D59" i="18" s="1"/>
  <c r="D58" i="18"/>
  <c r="C58" i="18" s="1"/>
  <c r="E58" i="18" s="1"/>
  <c r="C40" i="18"/>
  <c r="E40" i="18" s="1"/>
  <c r="C38" i="18"/>
  <c r="E38" i="18" s="1"/>
  <c r="C37" i="18"/>
  <c r="E37" i="18" s="1"/>
  <c r="C36" i="18"/>
  <c r="E36" i="18" s="1"/>
  <c r="C35" i="18"/>
  <c r="E35" i="18" s="1"/>
  <c r="D34" i="18"/>
  <c r="C33" i="18"/>
  <c r="E33" i="18" s="1"/>
  <c r="C32" i="18"/>
  <c r="E32" i="18" s="1"/>
  <c r="C31" i="18"/>
  <c r="E31" i="18" s="1"/>
  <c r="E30" i="18"/>
  <c r="D30" i="18"/>
  <c r="D28" i="18" s="1"/>
  <c r="C29" i="18"/>
  <c r="E29" i="18" s="1"/>
  <c r="C27" i="18"/>
  <c r="D27" i="18" s="1"/>
  <c r="D24" i="18" s="1"/>
  <c r="C26" i="18"/>
  <c r="E26" i="18" s="1"/>
  <c r="C25" i="18"/>
  <c r="E25" i="18" s="1"/>
  <c r="C20" i="18"/>
  <c r="E20" i="18" s="1"/>
  <c r="C19" i="18"/>
  <c r="D19" i="18" s="1"/>
  <c r="C13" i="18"/>
  <c r="D11" i="18"/>
  <c r="E24" i="18" l="1"/>
  <c r="E22" i="18"/>
  <c r="C22" i="18" s="1"/>
  <c r="D22" i="18" s="1"/>
  <c r="D56" i="18"/>
  <c r="E28" i="18"/>
  <c r="D12" i="18"/>
  <c r="C17" i="18"/>
  <c r="C34" i="18"/>
  <c r="D23" i="18"/>
  <c r="D62" i="18"/>
  <c r="E34" i="18"/>
  <c r="C21" i="18"/>
  <c r="C18" i="18" s="1"/>
  <c r="C24" i="18"/>
  <c r="C28" i="18"/>
  <c r="E23" i="18" l="1"/>
  <c r="D21" i="18"/>
  <c r="D18" i="18" s="1"/>
  <c r="E21" i="18"/>
  <c r="E18" i="18" s="1"/>
  <c r="D17" i="18"/>
  <c r="C16" i="18"/>
  <c r="E17" i="18"/>
  <c r="C23" i="18"/>
  <c r="D16" i="18" l="1"/>
  <c r="D41" i="18" s="1"/>
  <c r="C41" i="18" s="1"/>
  <c r="E41" i="18" s="1"/>
  <c r="E16" i="18"/>
  <c r="D57" i="18" l="1"/>
  <c r="C57" i="18" s="1"/>
  <c r="E57" i="18" s="1"/>
  <c r="D58" i="17"/>
  <c r="C58" i="17" s="1"/>
  <c r="E58" i="17" s="1"/>
  <c r="E56" i="17"/>
  <c r="C40" i="17"/>
  <c r="E40" i="17" s="1"/>
  <c r="C38" i="17"/>
  <c r="E38" i="17" s="1"/>
  <c r="C37" i="17"/>
  <c r="E37" i="17" s="1"/>
  <c r="C36" i="17"/>
  <c r="E36" i="17" s="1"/>
  <c r="C35" i="17"/>
  <c r="E35" i="17" s="1"/>
  <c r="D34" i="17"/>
  <c r="C33" i="17"/>
  <c r="E33" i="17" s="1"/>
  <c r="C32" i="17"/>
  <c r="E32" i="17" s="1"/>
  <c r="C31" i="17"/>
  <c r="E31" i="17" s="1"/>
  <c r="E30" i="17"/>
  <c r="D30" i="17"/>
  <c r="D28" i="17" s="1"/>
  <c r="C29" i="17"/>
  <c r="E29" i="17" s="1"/>
  <c r="E27" i="17"/>
  <c r="C27" i="17" s="1"/>
  <c r="D27" i="17" s="1"/>
  <c r="D24" i="17" s="1"/>
  <c r="C26" i="17"/>
  <c r="E26" i="17" s="1"/>
  <c r="C25" i="17"/>
  <c r="E25" i="17" s="1"/>
  <c r="C20" i="17"/>
  <c r="E20" i="17" s="1"/>
  <c r="C19" i="17"/>
  <c r="D19" i="17" s="1"/>
  <c r="C13" i="17"/>
  <c r="E22" i="17" s="1"/>
  <c r="C22" i="17" s="1"/>
  <c r="D22" i="17" s="1"/>
  <c r="D11" i="17"/>
  <c r="E27" i="16"/>
  <c r="C34" i="17" l="1"/>
  <c r="D23" i="17"/>
  <c r="E28" i="17"/>
  <c r="C56" i="17"/>
  <c r="D12" i="17"/>
  <c r="C17" i="17"/>
  <c r="E34" i="17"/>
  <c r="E24" i="17"/>
  <c r="C21" i="17"/>
  <c r="C24" i="17"/>
  <c r="C28" i="17"/>
  <c r="C23" i="17" l="1"/>
  <c r="E23" i="17"/>
  <c r="D21" i="17"/>
  <c r="D18" i="17" s="1"/>
  <c r="E21" i="17"/>
  <c r="E18" i="17" s="1"/>
  <c r="D17" i="17"/>
  <c r="E17" i="17"/>
  <c r="C18" i="17"/>
  <c r="E16" i="17" l="1"/>
  <c r="D16" i="17"/>
  <c r="D41" i="17" s="1"/>
  <c r="D57" i="17" s="1"/>
  <c r="C57" i="17" s="1"/>
  <c r="E57" i="17" s="1"/>
  <c r="C16" i="17"/>
  <c r="D56" i="17" s="1"/>
  <c r="C41" i="17" l="1"/>
  <c r="E41" i="17" s="1"/>
  <c r="C59" i="16"/>
  <c r="D59" i="16" s="1"/>
  <c r="D58" i="16"/>
  <c r="C58" i="16" s="1"/>
  <c r="E58" i="16" s="1"/>
  <c r="E56" i="16"/>
  <c r="C40" i="16"/>
  <c r="E40" i="16" s="1"/>
  <c r="C38" i="16"/>
  <c r="E38" i="16" s="1"/>
  <c r="C37" i="16"/>
  <c r="E37" i="16" s="1"/>
  <c r="C36" i="16"/>
  <c r="E36" i="16" s="1"/>
  <c r="C35" i="16"/>
  <c r="E35" i="16" s="1"/>
  <c r="D34" i="16"/>
  <c r="C33" i="16"/>
  <c r="E33" i="16" s="1"/>
  <c r="C32" i="16"/>
  <c r="E32" i="16" s="1"/>
  <c r="C31" i="16"/>
  <c r="E31" i="16" s="1"/>
  <c r="E30" i="16"/>
  <c r="D30" i="16"/>
  <c r="D28" i="16" s="1"/>
  <c r="C29" i="16"/>
  <c r="E29" i="16" s="1"/>
  <c r="C27" i="16"/>
  <c r="D27" i="16" s="1"/>
  <c r="D24" i="16" s="1"/>
  <c r="C26" i="16"/>
  <c r="E26" i="16" s="1"/>
  <c r="C25" i="16"/>
  <c r="E25" i="16" s="1"/>
  <c r="C20" i="16"/>
  <c r="E20" i="16" s="1"/>
  <c r="C19" i="16"/>
  <c r="D19" i="16" s="1"/>
  <c r="C13" i="16"/>
  <c r="E22" i="16" s="1"/>
  <c r="C22" i="16" s="1"/>
  <c r="D22" i="16" s="1"/>
  <c r="D11" i="16"/>
  <c r="E27" i="15"/>
  <c r="E24" i="16" l="1"/>
  <c r="E28" i="16"/>
  <c r="C56" i="16"/>
  <c r="D23" i="16"/>
  <c r="D12" i="16"/>
  <c r="C17" i="16"/>
  <c r="C34" i="16"/>
  <c r="D63" i="16"/>
  <c r="E34" i="16"/>
  <c r="C21" i="16"/>
  <c r="C24" i="16"/>
  <c r="C28" i="16"/>
  <c r="E23" i="16" l="1"/>
  <c r="C23" i="16"/>
  <c r="D21" i="16"/>
  <c r="D18" i="16" s="1"/>
  <c r="E21" i="16"/>
  <c r="E18" i="16" s="1"/>
  <c r="D17" i="16"/>
  <c r="E17" i="16"/>
  <c r="C18" i="16"/>
  <c r="E16" i="16" l="1"/>
  <c r="D16" i="16"/>
  <c r="D41" i="16" s="1"/>
  <c r="C16" i="16"/>
  <c r="D56" i="16" s="1"/>
  <c r="D57" i="16" l="1"/>
  <c r="C57" i="16" s="1"/>
  <c r="E57" i="16" s="1"/>
  <c r="C41" i="16"/>
  <c r="E41" i="16" s="1"/>
  <c r="C59" i="15" l="1"/>
  <c r="D59" i="15" s="1"/>
  <c r="D58" i="15"/>
  <c r="C58" i="15" s="1"/>
  <c r="E58" i="15" s="1"/>
  <c r="E56" i="15"/>
  <c r="C46" i="15"/>
  <c r="D46" i="15" s="1"/>
  <c r="C45" i="15"/>
  <c r="D45" i="15" s="1"/>
  <c r="C40" i="15"/>
  <c r="E40" i="15" s="1"/>
  <c r="C38" i="15"/>
  <c r="E38" i="15" s="1"/>
  <c r="C37" i="15"/>
  <c r="E37" i="15" s="1"/>
  <c r="C36" i="15"/>
  <c r="E36" i="15" s="1"/>
  <c r="C35" i="15"/>
  <c r="E35" i="15" s="1"/>
  <c r="D34" i="15"/>
  <c r="C33" i="15"/>
  <c r="E33" i="15" s="1"/>
  <c r="C32" i="15"/>
  <c r="E32" i="15" s="1"/>
  <c r="C31" i="15"/>
  <c r="E31" i="15" s="1"/>
  <c r="E30" i="15"/>
  <c r="D30" i="15"/>
  <c r="D28" i="15" s="1"/>
  <c r="C29" i="15"/>
  <c r="E29" i="15" s="1"/>
  <c r="C27" i="15"/>
  <c r="D27" i="15" s="1"/>
  <c r="D24" i="15" s="1"/>
  <c r="C26" i="15"/>
  <c r="E26" i="15" s="1"/>
  <c r="C25" i="15"/>
  <c r="E25" i="15" s="1"/>
  <c r="C20" i="15"/>
  <c r="E20" i="15" s="1"/>
  <c r="C19" i="15"/>
  <c r="D19" i="15" s="1"/>
  <c r="C13" i="15"/>
  <c r="E22" i="15" s="1"/>
  <c r="C22" i="15" s="1"/>
  <c r="D22" i="15" s="1"/>
  <c r="D11" i="15"/>
  <c r="D12" i="15" s="1"/>
  <c r="E27" i="14"/>
  <c r="C59" i="14"/>
  <c r="D59" i="14" s="1"/>
  <c r="D58" i="14"/>
  <c r="C58" i="14" s="1"/>
  <c r="E58" i="14" s="1"/>
  <c r="C40" i="14"/>
  <c r="E40" i="14" s="1"/>
  <c r="C38" i="14"/>
  <c r="E38" i="14" s="1"/>
  <c r="C37" i="14"/>
  <c r="E37" i="14" s="1"/>
  <c r="C36" i="14"/>
  <c r="E36" i="14" s="1"/>
  <c r="C35" i="14"/>
  <c r="E35" i="14" s="1"/>
  <c r="D34" i="14"/>
  <c r="C33" i="14"/>
  <c r="E33" i="14" s="1"/>
  <c r="C32" i="14"/>
  <c r="E32" i="14" s="1"/>
  <c r="C31" i="14"/>
  <c r="E31" i="14" s="1"/>
  <c r="E30" i="14"/>
  <c r="D30" i="14"/>
  <c r="D28" i="14" s="1"/>
  <c r="C29" i="14"/>
  <c r="E29" i="14" s="1"/>
  <c r="C27" i="14"/>
  <c r="D27" i="14" s="1"/>
  <c r="D24" i="14" s="1"/>
  <c r="C26" i="14"/>
  <c r="E26" i="14" s="1"/>
  <c r="C25" i="14"/>
  <c r="E25" i="14" s="1"/>
  <c r="C20" i="14"/>
  <c r="E20" i="14" s="1"/>
  <c r="C19" i="14"/>
  <c r="D19" i="14" s="1"/>
  <c r="C13" i="14"/>
  <c r="E22" i="14" s="1"/>
  <c r="C22" i="14" s="1"/>
  <c r="D22" i="14" s="1"/>
  <c r="D11" i="14"/>
  <c r="D12" i="14" s="1"/>
  <c r="C17" i="14" l="1"/>
  <c r="D23" i="15"/>
  <c r="C56" i="15"/>
  <c r="C17" i="15"/>
  <c r="E28" i="15"/>
  <c r="D63" i="15"/>
  <c r="C34" i="15"/>
  <c r="E34" i="15"/>
  <c r="E24" i="15"/>
  <c r="C21" i="15"/>
  <c r="C18" i="15" s="1"/>
  <c r="C24" i="15"/>
  <c r="C28" i="15"/>
  <c r="E34" i="14"/>
  <c r="E24" i="14"/>
  <c r="D23" i="14"/>
  <c r="E28" i="14"/>
  <c r="C34" i="14"/>
  <c r="D62" i="14"/>
  <c r="C21" i="14"/>
  <c r="C18" i="14" s="1"/>
  <c r="C24" i="14"/>
  <c r="C28" i="14"/>
  <c r="C59" i="12"/>
  <c r="D59" i="12" s="1"/>
  <c r="D58" i="12"/>
  <c r="C58" i="12" s="1"/>
  <c r="E58" i="12" s="1"/>
  <c r="C40" i="12"/>
  <c r="E40" i="12" s="1"/>
  <c r="C38" i="12"/>
  <c r="E38" i="12" s="1"/>
  <c r="C37" i="12"/>
  <c r="E37" i="12" s="1"/>
  <c r="C36" i="12"/>
  <c r="E36" i="12" s="1"/>
  <c r="C35" i="12"/>
  <c r="E35" i="12" s="1"/>
  <c r="D34" i="12"/>
  <c r="C33" i="12"/>
  <c r="E33" i="12" s="1"/>
  <c r="C32" i="12"/>
  <c r="E32" i="12" s="1"/>
  <c r="C31" i="12"/>
  <c r="E31" i="12" s="1"/>
  <c r="E30" i="12"/>
  <c r="D30" i="12"/>
  <c r="D28" i="12" s="1"/>
  <c r="C29" i="12"/>
  <c r="E29" i="12" s="1"/>
  <c r="E27" i="12"/>
  <c r="C27" i="12" s="1"/>
  <c r="C26" i="12"/>
  <c r="E26" i="12" s="1"/>
  <c r="C25" i="12"/>
  <c r="E25" i="12" s="1"/>
  <c r="C20" i="12"/>
  <c r="E20" i="12" s="1"/>
  <c r="C19" i="12"/>
  <c r="D19" i="12" s="1"/>
  <c r="C13" i="12"/>
  <c r="E22" i="12" s="1"/>
  <c r="C22" i="12" s="1"/>
  <c r="D22" i="12" s="1"/>
  <c r="D11" i="12"/>
  <c r="E27" i="13"/>
  <c r="C45" i="13"/>
  <c r="D45" i="13" s="1"/>
  <c r="D44" i="13"/>
  <c r="C44" i="13" s="1"/>
  <c r="E44" i="13" s="1"/>
  <c r="C40" i="13"/>
  <c r="E40" i="13" s="1"/>
  <c r="C38" i="13"/>
  <c r="E38" i="13" s="1"/>
  <c r="C37" i="13"/>
  <c r="E37" i="13" s="1"/>
  <c r="C36" i="13"/>
  <c r="E36" i="13" s="1"/>
  <c r="C35" i="13"/>
  <c r="E35" i="13" s="1"/>
  <c r="D34" i="13"/>
  <c r="C33" i="13"/>
  <c r="E33" i="13" s="1"/>
  <c r="C32" i="13"/>
  <c r="E32" i="13" s="1"/>
  <c r="C31" i="13"/>
  <c r="E31" i="13" s="1"/>
  <c r="E30" i="13"/>
  <c r="D30" i="13"/>
  <c r="C29" i="13"/>
  <c r="E29" i="13" s="1"/>
  <c r="D28" i="13"/>
  <c r="C27" i="13"/>
  <c r="D27" i="13" s="1"/>
  <c r="D24" i="13" s="1"/>
  <c r="C26" i="13"/>
  <c r="E26" i="13" s="1"/>
  <c r="C25" i="13"/>
  <c r="E25" i="13" s="1"/>
  <c r="C20" i="13"/>
  <c r="E20" i="13" s="1"/>
  <c r="C19" i="13"/>
  <c r="D19" i="13" s="1"/>
  <c r="C13" i="13"/>
  <c r="E22" i="13" s="1"/>
  <c r="C22" i="13" s="1"/>
  <c r="D22" i="13" s="1"/>
  <c r="D11" i="13"/>
  <c r="D12" i="13" s="1"/>
  <c r="E27" i="11"/>
  <c r="E24" i="12" l="1"/>
  <c r="C24" i="12"/>
  <c r="D27" i="12"/>
  <c r="D24" i="12" s="1"/>
  <c r="D23" i="12" s="1"/>
  <c r="E28" i="12"/>
  <c r="C21" i="12"/>
  <c r="C18" i="12" s="1"/>
  <c r="C17" i="12"/>
  <c r="C23" i="15"/>
  <c r="C17" i="13"/>
  <c r="C28" i="12"/>
  <c r="E23" i="15"/>
  <c r="D17" i="15"/>
  <c r="C16" i="15"/>
  <c r="E17" i="15"/>
  <c r="D21" i="15"/>
  <c r="D18" i="15" s="1"/>
  <c r="E21" i="15"/>
  <c r="E18" i="15" s="1"/>
  <c r="E23" i="14"/>
  <c r="C23" i="14"/>
  <c r="D17" i="14"/>
  <c r="C16" i="14"/>
  <c r="E17" i="14"/>
  <c r="D21" i="14"/>
  <c r="D18" i="14" s="1"/>
  <c r="E21" i="14"/>
  <c r="E18" i="14" s="1"/>
  <c r="D63" i="12"/>
  <c r="D12" i="12"/>
  <c r="E34" i="12"/>
  <c r="C34" i="12"/>
  <c r="D23" i="13"/>
  <c r="E34" i="13"/>
  <c r="E28" i="13"/>
  <c r="C34" i="13"/>
  <c r="E24" i="13"/>
  <c r="C21" i="13"/>
  <c r="C24" i="13"/>
  <c r="C28" i="13"/>
  <c r="E23" i="12" l="1"/>
  <c r="D21" i="12"/>
  <c r="D18" i="12" s="1"/>
  <c r="E21" i="12"/>
  <c r="E18" i="12" s="1"/>
  <c r="C23" i="12"/>
  <c r="E23" i="13"/>
  <c r="C23" i="13"/>
  <c r="D56" i="15"/>
  <c r="E16" i="15"/>
  <c r="D16" i="15"/>
  <c r="D41" i="15" s="1"/>
  <c r="D16" i="14"/>
  <c r="D41" i="14" s="1"/>
  <c r="E16" i="14"/>
  <c r="D17" i="12"/>
  <c r="D16" i="12" s="1"/>
  <c r="D41" i="12" s="1"/>
  <c r="C16" i="12"/>
  <c r="E17" i="12"/>
  <c r="D21" i="13"/>
  <c r="D18" i="13" s="1"/>
  <c r="E21" i="13"/>
  <c r="E18" i="13" s="1"/>
  <c r="D17" i="13"/>
  <c r="E17" i="13"/>
  <c r="C18" i="13"/>
  <c r="E16" i="12" l="1"/>
  <c r="E16" i="13"/>
  <c r="D16" i="13"/>
  <c r="D41" i="13" s="1"/>
  <c r="C41" i="13" s="1"/>
  <c r="E41" i="13" s="1"/>
  <c r="D57" i="15"/>
  <c r="C57" i="15" s="1"/>
  <c r="E57" i="15" s="1"/>
  <c r="C41" i="15"/>
  <c r="E41" i="15" s="1"/>
  <c r="D57" i="14"/>
  <c r="C57" i="14" s="1"/>
  <c r="E57" i="14" s="1"/>
  <c r="C41" i="14"/>
  <c r="E41" i="14" s="1"/>
  <c r="D57" i="12"/>
  <c r="C57" i="12" s="1"/>
  <c r="E57" i="12" s="1"/>
  <c r="C41" i="12"/>
  <c r="E41" i="12" s="1"/>
  <c r="C16" i="13"/>
  <c r="D43" i="13" l="1"/>
  <c r="C43" i="13" s="1"/>
  <c r="E43" i="13" s="1"/>
  <c r="C59" i="11"/>
  <c r="D59" i="11" s="1"/>
  <c r="D58" i="11"/>
  <c r="C58" i="11" s="1"/>
  <c r="E58" i="11" s="1"/>
  <c r="C40" i="11"/>
  <c r="E40" i="11" s="1"/>
  <c r="C38" i="11"/>
  <c r="E38" i="11" s="1"/>
  <c r="C37" i="11"/>
  <c r="E37" i="11" s="1"/>
  <c r="C36" i="11"/>
  <c r="E36" i="11" s="1"/>
  <c r="C35" i="11"/>
  <c r="E35" i="11" s="1"/>
  <c r="D34" i="11"/>
  <c r="C33" i="11"/>
  <c r="E33" i="11" s="1"/>
  <c r="C32" i="11"/>
  <c r="E32" i="11" s="1"/>
  <c r="C31" i="11"/>
  <c r="E31" i="11" s="1"/>
  <c r="E30" i="11"/>
  <c r="D30" i="11"/>
  <c r="C29" i="11"/>
  <c r="E29" i="11" s="1"/>
  <c r="D28" i="11"/>
  <c r="C27" i="11"/>
  <c r="D27" i="11" s="1"/>
  <c r="D24" i="11" s="1"/>
  <c r="C26" i="11"/>
  <c r="E26" i="11" s="1"/>
  <c r="C25" i="11"/>
  <c r="E25" i="11" s="1"/>
  <c r="C20" i="11"/>
  <c r="E20" i="11" s="1"/>
  <c r="C19" i="11"/>
  <c r="D19" i="11" s="1"/>
  <c r="C13" i="11"/>
  <c r="D48" i="11" s="1"/>
  <c r="D11" i="11"/>
  <c r="C59" i="10"/>
  <c r="D59" i="10" s="1"/>
  <c r="D58" i="10"/>
  <c r="C58" i="10" s="1"/>
  <c r="E58" i="10" s="1"/>
  <c r="C39" i="10"/>
  <c r="E39" i="10" s="1"/>
  <c r="C37" i="10"/>
  <c r="E37" i="10" s="1"/>
  <c r="C36" i="10"/>
  <c r="E36" i="10" s="1"/>
  <c r="C35" i="10"/>
  <c r="E35" i="10" s="1"/>
  <c r="C34" i="10"/>
  <c r="E34" i="10" s="1"/>
  <c r="D33" i="10"/>
  <c r="C32" i="10"/>
  <c r="E32" i="10" s="1"/>
  <c r="C31" i="10"/>
  <c r="E31" i="10" s="1"/>
  <c r="C30" i="10"/>
  <c r="E30" i="10" s="1"/>
  <c r="E29" i="10"/>
  <c r="D29" i="10"/>
  <c r="C28" i="10"/>
  <c r="E28" i="10" s="1"/>
  <c r="D27" i="10"/>
  <c r="D24" i="10"/>
  <c r="C26" i="10"/>
  <c r="E26" i="10" s="1"/>
  <c r="C25" i="10"/>
  <c r="C20" i="10"/>
  <c r="E20" i="10" s="1"/>
  <c r="C19" i="10"/>
  <c r="D19" i="10" s="1"/>
  <c r="C13" i="10"/>
  <c r="E22" i="10" s="1"/>
  <c r="C22" i="10" s="1"/>
  <c r="D22" i="10" s="1"/>
  <c r="D11" i="10"/>
  <c r="C21" i="10" s="1"/>
  <c r="C48" i="1"/>
  <c r="D48" i="1" s="1"/>
  <c r="C24" i="10" l="1"/>
  <c r="E22" i="11"/>
  <c r="C22" i="11" s="1"/>
  <c r="D22" i="11" s="1"/>
  <c r="D56" i="11"/>
  <c r="D23" i="10"/>
  <c r="E27" i="10"/>
  <c r="E25" i="10"/>
  <c r="E24" i="10" s="1"/>
  <c r="C27" i="10"/>
  <c r="C17" i="10"/>
  <c r="D12" i="11"/>
  <c r="C17" i="11"/>
  <c r="D23" i="11"/>
  <c r="E34" i="11"/>
  <c r="E28" i="11"/>
  <c r="C34" i="11"/>
  <c r="D62" i="11"/>
  <c r="E24" i="11"/>
  <c r="C21" i="11"/>
  <c r="C18" i="11" s="1"/>
  <c r="C24" i="11"/>
  <c r="C28" i="11"/>
  <c r="D62" i="10"/>
  <c r="E33" i="10"/>
  <c r="D12" i="10"/>
  <c r="D21" i="10"/>
  <c r="D18" i="10" s="1"/>
  <c r="C18" i="10"/>
  <c r="E21" i="10"/>
  <c r="E18" i="10" s="1"/>
  <c r="C33" i="10"/>
  <c r="C59" i="5"/>
  <c r="D59" i="5" s="1"/>
  <c r="D58" i="5"/>
  <c r="C58" i="5" s="1"/>
  <c r="E58" i="5" s="1"/>
  <c r="E56" i="5"/>
  <c r="C43" i="5"/>
  <c r="C41" i="5"/>
  <c r="E41" i="5" s="1"/>
  <c r="E40" i="5"/>
  <c r="C38" i="5"/>
  <c r="E38" i="5" s="1"/>
  <c r="C37" i="5"/>
  <c r="E37" i="5" s="1"/>
  <c r="C36" i="5"/>
  <c r="E36" i="5" s="1"/>
  <c r="C35" i="5"/>
  <c r="D34" i="5"/>
  <c r="C33" i="5"/>
  <c r="E33" i="5" s="1"/>
  <c r="C32" i="5"/>
  <c r="E32" i="5" s="1"/>
  <c r="C31" i="5"/>
  <c r="E31" i="5" s="1"/>
  <c r="E30" i="5"/>
  <c r="D30" i="5"/>
  <c r="D28" i="5" s="1"/>
  <c r="C29" i="5"/>
  <c r="E29" i="5" s="1"/>
  <c r="E27" i="5"/>
  <c r="C27" i="5" s="1"/>
  <c r="D27" i="5" s="1"/>
  <c r="D24" i="5" s="1"/>
  <c r="C26" i="5"/>
  <c r="E26" i="5" s="1"/>
  <c r="C25" i="5"/>
  <c r="E25" i="5" s="1"/>
  <c r="C20" i="5"/>
  <c r="E20" i="5" s="1"/>
  <c r="C19" i="5"/>
  <c r="D19" i="5" s="1"/>
  <c r="C13" i="5"/>
  <c r="E22" i="5" s="1"/>
  <c r="C22" i="5" s="1"/>
  <c r="D22" i="5" s="1"/>
  <c r="D11" i="5"/>
  <c r="C23" i="10" l="1"/>
  <c r="C34" i="5"/>
  <c r="E23" i="10"/>
  <c r="D12" i="5"/>
  <c r="C17" i="5"/>
  <c r="E35" i="5"/>
  <c r="E34" i="5" s="1"/>
  <c r="E23" i="11"/>
  <c r="D21" i="11"/>
  <c r="D18" i="11" s="1"/>
  <c r="E21" i="11"/>
  <c r="E18" i="11" s="1"/>
  <c r="D17" i="11"/>
  <c r="C16" i="11"/>
  <c r="E17" i="11"/>
  <c r="C23" i="11"/>
  <c r="C16" i="10"/>
  <c r="E17" i="10"/>
  <c r="E16" i="10" s="1"/>
  <c r="D17" i="10"/>
  <c r="D16" i="10" s="1"/>
  <c r="D40" i="10" s="1"/>
  <c r="C56" i="5"/>
  <c r="D43" i="5"/>
  <c r="D23" i="5"/>
  <c r="E24" i="5"/>
  <c r="E28" i="5"/>
  <c r="D62" i="5"/>
  <c r="C21" i="5"/>
  <c r="C18" i="5" s="1"/>
  <c r="C24" i="5"/>
  <c r="C28" i="5"/>
  <c r="E16" i="11" l="1"/>
  <c r="D16" i="11"/>
  <c r="D41" i="11" s="1"/>
  <c r="D57" i="10"/>
  <c r="C57" i="10" s="1"/>
  <c r="E57" i="10" s="1"/>
  <c r="C40" i="10"/>
  <c r="E40" i="10" s="1"/>
  <c r="E23" i="5"/>
  <c r="D21" i="5"/>
  <c r="D18" i="5" s="1"/>
  <c r="E21" i="5"/>
  <c r="E18" i="5" s="1"/>
  <c r="D17" i="5"/>
  <c r="C16" i="5"/>
  <c r="E17" i="5"/>
  <c r="C23" i="5"/>
  <c r="D16" i="5" l="1"/>
  <c r="D42" i="5" s="1"/>
  <c r="C42" i="5" s="1"/>
  <c r="E42" i="5" s="1"/>
  <c r="D57" i="11"/>
  <c r="C57" i="11" s="1"/>
  <c r="E57" i="11" s="1"/>
  <c r="C41" i="11"/>
  <c r="E41" i="11" s="1"/>
  <c r="D56" i="5"/>
  <c r="E16" i="5"/>
  <c r="D57" i="5" l="1"/>
  <c r="C57" i="5" s="1"/>
  <c r="E57" i="5" s="1"/>
  <c r="E27" i="1"/>
  <c r="D49" i="1" l="1"/>
  <c r="E27" i="3" l="1"/>
  <c r="C41" i="4" l="1"/>
  <c r="E41" i="4" s="1"/>
  <c r="E40" i="4"/>
  <c r="D40" i="4"/>
  <c r="D34" i="4" s="1"/>
  <c r="C38" i="4"/>
  <c r="E38" i="4" s="1"/>
  <c r="C37" i="4"/>
  <c r="E37" i="4" s="1"/>
  <c r="C36" i="4"/>
  <c r="E36" i="4" s="1"/>
  <c r="C35" i="4"/>
  <c r="E35" i="4" s="1"/>
  <c r="C32" i="4"/>
  <c r="E32" i="4" s="1"/>
  <c r="C31" i="4"/>
  <c r="E31" i="4" s="1"/>
  <c r="C30" i="4"/>
  <c r="E30" i="4" s="1"/>
  <c r="E29" i="4"/>
  <c r="D29" i="4"/>
  <c r="D27" i="4" s="1"/>
  <c r="C28" i="4"/>
  <c r="E28" i="4" s="1"/>
  <c r="D24" i="4"/>
  <c r="C26" i="4"/>
  <c r="E26" i="4" s="1"/>
  <c r="C25" i="4"/>
  <c r="C20" i="4"/>
  <c r="E20" i="4" s="1"/>
  <c r="C19" i="4"/>
  <c r="D19" i="4" s="1"/>
  <c r="C13" i="4"/>
  <c r="E22" i="4" s="1"/>
  <c r="C22" i="4" s="1"/>
  <c r="D22" i="4" s="1"/>
  <c r="D11" i="4"/>
  <c r="D47" i="1"/>
  <c r="C47" i="1" s="1"/>
  <c r="E47" i="1" s="1"/>
  <c r="C40" i="3"/>
  <c r="E40" i="3" s="1"/>
  <c r="C38" i="3"/>
  <c r="E38" i="3" s="1"/>
  <c r="C37" i="3"/>
  <c r="E37" i="3" s="1"/>
  <c r="C36" i="3"/>
  <c r="E36" i="3" s="1"/>
  <c r="C35" i="3"/>
  <c r="E35" i="3" s="1"/>
  <c r="D34" i="3"/>
  <c r="C33" i="3"/>
  <c r="E33" i="3" s="1"/>
  <c r="C32" i="3"/>
  <c r="E32" i="3" s="1"/>
  <c r="C31" i="3"/>
  <c r="E31" i="3" s="1"/>
  <c r="E30" i="3"/>
  <c r="D30" i="3"/>
  <c r="D28" i="3" s="1"/>
  <c r="C29" i="3"/>
  <c r="E29" i="3" s="1"/>
  <c r="C27" i="3"/>
  <c r="D27" i="3" s="1"/>
  <c r="D24" i="3" s="1"/>
  <c r="C26" i="3"/>
  <c r="C25" i="3"/>
  <c r="E25" i="3" s="1"/>
  <c r="C20" i="3"/>
  <c r="E20" i="3" s="1"/>
  <c r="C13" i="3"/>
  <c r="E22" i="3" s="1"/>
  <c r="C22" i="3" s="1"/>
  <c r="D22" i="3" s="1"/>
  <c r="D11" i="3"/>
  <c r="C17" i="3" s="1"/>
  <c r="C27" i="1"/>
  <c r="D27" i="1" s="1"/>
  <c r="C31" i="1"/>
  <c r="E31" i="1" s="1"/>
  <c r="C32" i="1"/>
  <c r="E32" i="1" s="1"/>
  <c r="C24" i="4" l="1"/>
  <c r="E25" i="4"/>
  <c r="C27" i="4"/>
  <c r="C21" i="4"/>
  <c r="C18" i="4" s="1"/>
  <c r="C17" i="4"/>
  <c r="E24" i="4"/>
  <c r="E27" i="4"/>
  <c r="C34" i="4"/>
  <c r="D12" i="3"/>
  <c r="E34" i="4"/>
  <c r="D23" i="4"/>
  <c r="E21" i="4"/>
  <c r="E18" i="4" s="1"/>
  <c r="D12" i="4"/>
  <c r="D23" i="3"/>
  <c r="C21" i="3"/>
  <c r="E21" i="3" s="1"/>
  <c r="E18" i="3" s="1"/>
  <c r="E28" i="3"/>
  <c r="E34" i="3"/>
  <c r="C24" i="3"/>
  <c r="E17" i="3"/>
  <c r="D17" i="3"/>
  <c r="E26" i="3"/>
  <c r="E24" i="3" s="1"/>
  <c r="C28" i="3"/>
  <c r="C34" i="3"/>
  <c r="E39" i="1"/>
  <c r="D33" i="1"/>
  <c r="C40" i="1"/>
  <c r="E40" i="1" s="1"/>
  <c r="C37" i="1"/>
  <c r="C36" i="1"/>
  <c r="E36" i="1" s="1"/>
  <c r="C35" i="1"/>
  <c r="E35" i="1" s="1"/>
  <c r="D28" i="1"/>
  <c r="C30" i="1"/>
  <c r="E30" i="1" s="1"/>
  <c r="D24" i="1"/>
  <c r="C26" i="1"/>
  <c r="E26" i="1" s="1"/>
  <c r="C34" i="1"/>
  <c r="E34" i="1" s="1"/>
  <c r="C29" i="1"/>
  <c r="E29" i="1" s="1"/>
  <c r="C25" i="1"/>
  <c r="C19" i="1"/>
  <c r="C20" i="1"/>
  <c r="E23" i="4" l="1"/>
  <c r="C23" i="4"/>
  <c r="D21" i="4"/>
  <c r="D18" i="4" s="1"/>
  <c r="E28" i="1"/>
  <c r="E20" i="1"/>
  <c r="C24" i="1"/>
  <c r="E17" i="4"/>
  <c r="E16" i="4" s="1"/>
  <c r="D17" i="4"/>
  <c r="C16" i="4"/>
  <c r="E37" i="1"/>
  <c r="E23" i="3"/>
  <c r="D21" i="3"/>
  <c r="D18" i="3" s="1"/>
  <c r="D16" i="3" s="1"/>
  <c r="D41" i="3" s="1"/>
  <c r="C18" i="3"/>
  <c r="C16" i="3" s="1"/>
  <c r="E16" i="3"/>
  <c r="C23" i="3"/>
  <c r="C33" i="1"/>
  <c r="D19" i="1"/>
  <c r="E25" i="1"/>
  <c r="E24" i="1" s="1"/>
  <c r="C28" i="1"/>
  <c r="D23" i="1"/>
  <c r="D11" i="1"/>
  <c r="C13" i="1"/>
  <c r="D16" i="4" l="1"/>
  <c r="D42" i="4" s="1"/>
  <c r="D45" i="4" s="1"/>
  <c r="C45" i="4" s="1"/>
  <c r="E45" i="4" s="1"/>
  <c r="C17" i="1"/>
  <c r="E22" i="1"/>
  <c r="C22" i="1" s="1"/>
  <c r="D22" i="1" s="1"/>
  <c r="C23" i="1"/>
  <c r="C21" i="1"/>
  <c r="E21" i="1" s="1"/>
  <c r="E18" i="1" s="1"/>
  <c r="D12" i="1"/>
  <c r="E33" i="1"/>
  <c r="E23" i="1" s="1"/>
  <c r="D45" i="3"/>
  <c r="C41" i="3"/>
  <c r="C42" i="4" l="1"/>
  <c r="E42" i="4" s="1"/>
  <c r="C18" i="1"/>
  <c r="D21" i="1"/>
  <c r="D18" i="1" s="1"/>
  <c r="E41" i="3"/>
  <c r="E45" i="3" s="1"/>
  <c r="C45" i="3"/>
  <c r="C16" i="1"/>
  <c r="D17" i="1"/>
  <c r="E17" i="1"/>
  <c r="E16" i="1" s="1"/>
  <c r="D16" i="1" l="1"/>
  <c r="D41" i="1" s="1"/>
  <c r="D46" i="1" s="1"/>
  <c r="C46" i="1" s="1"/>
  <c r="E46" i="1" s="1"/>
  <c r="C41" i="1" l="1"/>
  <c r="E41" i="1" s="1"/>
</calcChain>
</file>

<file path=xl/sharedStrings.xml><?xml version="1.0" encoding="utf-8"?>
<sst xmlns="http://schemas.openxmlformats.org/spreadsheetml/2006/main" count="2878" uniqueCount="182">
  <si>
    <t>Характеристика МКД</t>
  </si>
  <si>
    <t>9-ти этажный дом</t>
  </si>
  <si>
    <t>кол-во подъездов</t>
  </si>
  <si>
    <t>Общая площадь жилых помещений</t>
  </si>
  <si>
    <t>Площадь подвала</t>
  </si>
  <si>
    <t>Тариф на содержание помещения</t>
  </si>
  <si>
    <t>Прочие доходы дома</t>
  </si>
  <si>
    <t xml:space="preserve">Итого годовой доход дома </t>
  </si>
  <si>
    <t>Работы и услуги</t>
  </si>
  <si>
    <t xml:space="preserve">Управление МКД </t>
  </si>
  <si>
    <t>1.1.</t>
  </si>
  <si>
    <t>Услуги по управлению МКД (ФОТ, налог на ФОТ)</t>
  </si>
  <si>
    <t>Услуги по содержанию и ремонту общего имущества МКД</t>
  </si>
  <si>
    <t>сумма в месяц, руб.</t>
  </si>
  <si>
    <t>на 1м2, руб.</t>
  </si>
  <si>
    <t>сумма в год, руб.</t>
  </si>
  <si>
    <t>1.2.</t>
  </si>
  <si>
    <t>Общеэксплутационные расходы, в том числе:</t>
  </si>
  <si>
    <t>1.2.1.</t>
  </si>
  <si>
    <t>Судебные расходы, в том числе госпошлина</t>
  </si>
  <si>
    <t>1.2.2.</t>
  </si>
  <si>
    <t>Прочие расходы (канцтовары,хоз.расходы, услуги связи, ком.услуги,комиссия банка, прогр.обеспечение,почтовые расходы и т.д)</t>
  </si>
  <si>
    <t>1.2.3.</t>
  </si>
  <si>
    <t>Обслуживание ООО "ВЦ ЖКХ", системы "Город"</t>
  </si>
  <si>
    <t>2.</t>
  </si>
  <si>
    <t>Текущее содержание МКД, в том числе:</t>
  </si>
  <si>
    <t>2.1.</t>
  </si>
  <si>
    <t>Текущее содержание конструктивных элементов МКД</t>
  </si>
  <si>
    <t>2.1.1.</t>
  </si>
  <si>
    <t>2.1.2.</t>
  </si>
  <si>
    <t>Инвентарь, расходные материалы,спецодежда</t>
  </si>
  <si>
    <t>2.1.3.</t>
  </si>
  <si>
    <t>2.2.</t>
  </si>
  <si>
    <t>Текущее содержание инженерного оборудования МКД</t>
  </si>
  <si>
    <t>2.2.1.</t>
  </si>
  <si>
    <t>2.2.2.</t>
  </si>
  <si>
    <t>Обслуживание ОДПУ</t>
  </si>
  <si>
    <t>2.2.3.</t>
  </si>
  <si>
    <t>2.2.4.</t>
  </si>
  <si>
    <t>2.2.5.</t>
  </si>
  <si>
    <t>Подготовка МКД к зиме (прмывка, опрессовка)</t>
  </si>
  <si>
    <t>Аварийно-диспетчерская служба</t>
  </si>
  <si>
    <t>2.3.</t>
  </si>
  <si>
    <t>Текущее содержание  (благоустройство и обеспечение санитарного состояния МКД)</t>
  </si>
  <si>
    <t>2.3.1.</t>
  </si>
  <si>
    <t>Автоуслуги (очистка дворовой территории от снега, КГМ)</t>
  </si>
  <si>
    <t>2.3.2.</t>
  </si>
  <si>
    <t>2.3.3.</t>
  </si>
  <si>
    <t>Покос травы (леска,ГСМ и пр.)</t>
  </si>
  <si>
    <t>2.3.4.</t>
  </si>
  <si>
    <t>Ремонт мусорных контейнеров</t>
  </si>
  <si>
    <t>2.3.5.</t>
  </si>
  <si>
    <t>Дератизация,дезинсекция</t>
  </si>
  <si>
    <t>2.3.6.</t>
  </si>
  <si>
    <t>Уборка подъездов</t>
  </si>
  <si>
    <t>2.3.7.</t>
  </si>
  <si>
    <t>Доход дома за месяц</t>
  </si>
  <si>
    <t>Страхование лифтов ( 1 лифт-87,56)</t>
  </si>
  <si>
    <t>2.4.</t>
  </si>
  <si>
    <t>Текущий ремонт МКД</t>
  </si>
  <si>
    <t>ИТОГО</t>
  </si>
  <si>
    <t xml:space="preserve">Услуги по содержанию конструктивных элементов </t>
  </si>
  <si>
    <t xml:space="preserve">Услуги по содержанию  инженерного оборудования </t>
  </si>
  <si>
    <t>Услуги по  содержанию  ,благоустройству и обеспечению санитарного состояния МКД)</t>
  </si>
  <si>
    <t>Итого с прочими доходами за месяц</t>
  </si>
  <si>
    <t>Текущий ремонт МКД ( за счет прочих доходов)</t>
  </si>
  <si>
    <t>1.2.4.</t>
  </si>
  <si>
    <t>НАЛОГ УСНО</t>
  </si>
  <si>
    <t>3.</t>
  </si>
  <si>
    <t>4.</t>
  </si>
  <si>
    <t>контроль</t>
  </si>
  <si>
    <t>План работ и услуг по содержанию и ремонту общего имущества МКД на 2022 год по адресу: г.Барнаул ул.Веры Кащеевой,1</t>
  </si>
  <si>
    <t>Ремонт кровли по заявкам</t>
  </si>
  <si>
    <t>Услуги по  содержанию, благоустройству и обеспечению санитарного состояния МКД)</t>
  </si>
  <si>
    <t>4.1.</t>
  </si>
  <si>
    <t>4.2.</t>
  </si>
  <si>
    <t>План работ и услуг по содержанию и ремонту общего имущества МКД на 2022 год по адресу: г.Барнаул ул.Веры Кащеевой,2</t>
  </si>
  <si>
    <t>3.1.</t>
  </si>
  <si>
    <t>Ремонт межпанельных швов по заявкам</t>
  </si>
  <si>
    <t>3.2.</t>
  </si>
  <si>
    <t>3.3.</t>
  </si>
  <si>
    <t>3.4.</t>
  </si>
  <si>
    <t>3.5.</t>
  </si>
  <si>
    <t>3.6.</t>
  </si>
  <si>
    <t>План работ и услуг по содержанию и ремонту общего имущества МКД на 2022 год по адресу: г.Барнаул ул.Горская,1</t>
  </si>
  <si>
    <t>3-х этажный дом</t>
  </si>
  <si>
    <t>План работ и услуг по содержанию и ремонту общего имущества МКД на 2022 год по адресу: г.Барнаул ул.Гущина,160</t>
  </si>
  <si>
    <t>План работ и услуг по содержанию и ремонту общего имущества МКД на 2022 год по адресу: г.Барнаул ул.Веры Кащеевой,4</t>
  </si>
  <si>
    <t>5-ти этажный дом</t>
  </si>
  <si>
    <t>План работ и услуг по содержанию и ремонту общего имущества МКД на 2022 год по адресу: г.Барнаул ул.Веры Кащеевой,6</t>
  </si>
  <si>
    <t>План работ и услуг по содержанию и ремонту общего имущества МКД на 2022 год по адресу: г.Барнаул ул.Веры Кащеевой,7</t>
  </si>
  <si>
    <t xml:space="preserve"> </t>
  </si>
  <si>
    <t>План работ и услуг по содержанию и ремонту общего имущества МКД на 2022 год по адресу: г.Барнаул ул.Веры Кащеевой,9</t>
  </si>
  <si>
    <t>План работ и услуг по содержанию и ремонту общего имущества МКД на 2022 год по адресу: г.Барнаул ул.Веры Кащеевой,10</t>
  </si>
  <si>
    <t>План работ и услуг по содержанию и ремонту общего имущества МКД на 2022 год по адресу: г.Барнаул ул.Веры Кащеевой,11</t>
  </si>
  <si>
    <t>План работ и услуг по содержанию и ремонту общего имущества МКД на 2022 год по адресу: г.Барнаул ул.Веры Кащеевой,12</t>
  </si>
  <si>
    <t>4.3.</t>
  </si>
  <si>
    <t>Спил деревьев 5 шт.</t>
  </si>
  <si>
    <t>4.4.</t>
  </si>
  <si>
    <t>План работ и услуг по содержанию и ремонту общего имущества МКД на 2022 год по адресу: г.Барнаул ул.Веры Кащеевой,13</t>
  </si>
  <si>
    <t>План работ и услуг по содержанию и ремонту общего имущества МКД на 2022 год по адресу: г.Барнаул ул.Веры Кащеевой,16</t>
  </si>
  <si>
    <t>План работ и услуг по содержанию и ремонту общего имущества МКД на 2022 год по адресу: г.Барнаул ул.Веры Кащеевой,17 корпус2</t>
  </si>
  <si>
    <t>План работ и услуг по содержанию и ремонту общего имущества МКД на 2022 год по адресу: г.Барнаул ул.Веры Кащеевой,17 корпус1</t>
  </si>
  <si>
    <t>План работ и услуг по содержанию и ремонту общего имущества МКД на 2022 год по адресу: г.Барнаул ул.Веры Кащеевой,23 корпус1</t>
  </si>
  <si>
    <t>План работ и услуг по содержанию и ремонту общего имущества МКД на 2022 год по адресу: г.Барнаул ул.Веры Кащеевой,25</t>
  </si>
  <si>
    <t>План работ и услуг по содержанию и ремонту общего имущества МКД на 2022 год по адресу: г.Барнаул ул.Веры Кащеевой,23 корпус 2</t>
  </si>
  <si>
    <t>План работ и услуг по содержанию и ремонту общего имущества МКД на 2022 год по адресу: г.Барнаул ул.Монтажников, 3</t>
  </si>
  <si>
    <t>План работ и услуг по содержанию и ремонту общего имущества МКД на 2022 год по адресу: г.Барнаул ул.Монтажников, 5</t>
  </si>
  <si>
    <t>Спил деревьев 11 шт.</t>
  </si>
  <si>
    <t>План работ и услуг по содержанию и ремонту общего имущества МКД на 2022 год по адресу: г.Барнаул ул.Монтажников, 8</t>
  </si>
  <si>
    <t>План работ и услуг по содержанию и ремонту общего имущества МКД на 2022 год по адресу: г.Барнаул ул.Монтажников,11 корпус1</t>
  </si>
  <si>
    <t>План работ и услуг по содержанию и ремонту общего имущества МКД на 2022 год по адресу: г.Барнаул ул.Монтажников,11 корпус2</t>
  </si>
  <si>
    <t>План работ и услуг по содержанию и ремонту общего имущества МКД на 2022 год по адресу: г.Барнаул ул.Попова,4 корпус1</t>
  </si>
  <si>
    <t>План работ и услуг по содержанию и ремонту общего имущества МКД на 2022 год по адресу: г.Барнаул ул.Попова,4 корпус2</t>
  </si>
  <si>
    <t>План работ и услуг по содержанию и ремонту общего имущества МКД на 2022 год по адресу: г.Барнаул ул.Попова,6 корпус1</t>
  </si>
  <si>
    <t>План работ и услуг по содержанию и ремонту общего имущества МКД на 2022 год по адресу: г.Барнаул ул.Попова,6 корпус2</t>
  </si>
  <si>
    <t>План работ и услуг по содержанию и ремонту общего имущества МКД на 2022 год по адресу: г.Барнаул ул.Попова,10 корпус1</t>
  </si>
  <si>
    <t>План работ и услуг по содержанию и ремонту общего имущества МКД на 2022 год по адресу: г.Барнаул ул.Попова,10 корпус2</t>
  </si>
  <si>
    <t>План работ и услуг по содержанию и ремонту общего имущества МКД на 2022 год по адресу: г.Барнаул ул.Эмилии Алексеевой,70</t>
  </si>
  <si>
    <t>План работ и услуг по содержанию и ремонту общего имущества МКД на 2022 год по адресу: г.Барнаул ул.Гущина, 154</t>
  </si>
  <si>
    <t>План работ и услуг по содержанию и ремонту общего имущества МКД на 2022 год по адресу: г.Барнаул ул.Кавалерийская,3</t>
  </si>
  <si>
    <t>Ремонт отмостки</t>
  </si>
  <si>
    <t>Спил деревьев 6 шт.</t>
  </si>
  <si>
    <t>Дератизация,дезинсекция 2 раза</t>
  </si>
  <si>
    <t>Дератизация,дезинсекция 2 раза в год</t>
  </si>
  <si>
    <t>Ремонт подъезда</t>
  </si>
  <si>
    <t>было 304200  откуда??????</t>
  </si>
  <si>
    <t>было 257400 откуда???????</t>
  </si>
  <si>
    <t>Оплата председателю МКД</t>
  </si>
  <si>
    <t xml:space="preserve">Обслуживание АТП (автоматизированного теплового пункта)     </t>
  </si>
  <si>
    <t>2.2.6.</t>
  </si>
  <si>
    <t>Обслуживание газопровода</t>
  </si>
  <si>
    <t>3.7.</t>
  </si>
  <si>
    <t>3.8.</t>
  </si>
  <si>
    <t>3.9.</t>
  </si>
  <si>
    <t>Реконмендованный тариф</t>
  </si>
  <si>
    <t>Ремонт балконного козырька по заявкам</t>
  </si>
  <si>
    <t>Ремонт входа в подъезд</t>
  </si>
  <si>
    <t>Асфальтирование входов перед подъездами</t>
  </si>
  <si>
    <t>Ремонт козырьков над вентшахтами</t>
  </si>
  <si>
    <t xml:space="preserve">Установка карусели </t>
  </si>
  <si>
    <t>Установка качели-балансир</t>
  </si>
  <si>
    <t>Диагностика лифта</t>
  </si>
  <si>
    <t>Последиагностический ремонт лифта прочие расходы</t>
  </si>
  <si>
    <t xml:space="preserve">Диагностика лифта </t>
  </si>
  <si>
    <t>Диагностика лифта п.1-8</t>
  </si>
  <si>
    <t>Диагностика лифта п.1-2</t>
  </si>
  <si>
    <t>Цокольные окна с решетками 7 шт.</t>
  </si>
  <si>
    <t>Спил деревьев 10 шт.</t>
  </si>
  <si>
    <t xml:space="preserve">Софинансирование мероприятий МП "Комфортная среда"(доля 295565,76 руб.) </t>
  </si>
  <si>
    <t xml:space="preserve">Последиагностический ремонт лифта </t>
  </si>
  <si>
    <t>Диагностика лифтов п.1-5                            75768,85</t>
  </si>
  <si>
    <t xml:space="preserve">Последиагностический ремонт лифта прочие расходы   </t>
  </si>
  <si>
    <t>Последиагностический ремонт лифта прочие расходы 30000</t>
  </si>
  <si>
    <t>Замена межтамбурных дверей с перегородками</t>
  </si>
  <si>
    <t>Замена мусорного контейнера 1 шт. и 4 колеса</t>
  </si>
  <si>
    <t>Дезинфекция мусоростволов п.1-4 4 шт.</t>
  </si>
  <si>
    <t>Устройство лотка ливневой канализации п.3</t>
  </si>
  <si>
    <t>Дезинфекция мусоростволов п.1-4 (4 шт.)</t>
  </si>
  <si>
    <t>Замена мусороприемников в п.3 (3 шт).</t>
  </si>
  <si>
    <t>Замена мусорных контейнеров 2 шт. и 8 колес</t>
  </si>
  <si>
    <t>Замена межтамбурных дверей п.1,4 (2 шт.)</t>
  </si>
  <si>
    <t>Спил деревьев 2 шт. возле п.1</t>
  </si>
  <si>
    <t>Замена мусороприемников 2 шт. п.1, 8</t>
  </si>
  <si>
    <t>Установка поручня возле п.7</t>
  </si>
  <si>
    <t>Подпорная стенка</t>
  </si>
  <si>
    <t>ВНЕСЕНИЕ ДОПОЛНЕНИЙ В ПЛАН РАБОТ ПО ТЕКУЩЕМУ РЕМОНТУ МКД ПРОИЗВОДИТСЯ С 01.04.2022 ДО 15.04.2022 ПО ИТОГАМ ГОДОВОГО ОТЧЕТА ЗА 2021 ГОД И УТВЕРЖДАЕТСЯ УПОЛНОМОЧЕННЫМ СОВЕТОМ МКД</t>
  </si>
  <si>
    <t>Начальник ПТО______________/Маматова Т.В.</t>
  </si>
  <si>
    <t>Диагностика лифта прочие расходы 15153,77</t>
  </si>
  <si>
    <t>Спил деревьев  12 шт.</t>
  </si>
  <si>
    <t>Замена мусорных контейнеров 4 шт. и 16 колес</t>
  </si>
  <si>
    <t>Покраска цоколя с уличной стороны</t>
  </si>
  <si>
    <t xml:space="preserve">Последиагностический ремонт лифтов </t>
  </si>
  <si>
    <t>Ремонт мнежпанельных швов по заявкам</t>
  </si>
  <si>
    <t>Обслуживание ОДПУ (газопровода)</t>
  </si>
  <si>
    <t>Ремонт межпанельных швов по заявкам 27665,0</t>
  </si>
  <si>
    <t>Квартироуказатели п.1-8 (8 шт.)</t>
  </si>
  <si>
    <t>Межтамбурная дверь металлическая, полимерная п.8</t>
  </si>
  <si>
    <t xml:space="preserve"> План работ и услуг по содержанию и ремонту общего имущества МКД на 2022 год по адресу: г.Барнаул ул.Кавалерийская, 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</si>
  <si>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Дезинфекция мусоростволов</t>
  </si>
  <si>
    <t>Замена мусорных контейнеров 3 шт. и 12 колес</t>
  </si>
  <si>
    <t>План работ и услуг по содержанию и ремонту общего имущества МКД на 2022 год по адресу: г.Барнаул ул.Веры Кащеевой,8(отсутствует Совет дома)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</si>
</sst>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0"/>
    <numFmt numFmtId="165" formatCode="0.000"/>
    <numFmt numFmtId="166" formatCode="0.0"/>
  </numFmts>
  <fonts count="16" x14ac:knownFonts="1"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rgb="FFFF000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9FF3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53">
    <xf numFmtId="0" fontId="0" fillId="0" borderId="0" xfId="0"/>
    <xf numFmtId="0" fontId="1" fillId="0" borderId="1" xfId="0" applyFont="1" applyBorder="1"/>
    <xf numFmtId="0" fontId="3" fillId="0" borderId="1" xfId="0" applyFont="1" applyBorder="1"/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2" fontId="3" fillId="0" borderId="1" xfId="0" applyNumberFormat="1" applyFont="1" applyBorder="1"/>
    <xf numFmtId="0" fontId="4" fillId="0" borderId="1" xfId="0" applyFont="1" applyBorder="1"/>
    <xf numFmtId="0" fontId="3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5" fillId="2" borderId="1" xfId="0" applyFont="1" applyFill="1" applyBorder="1"/>
    <xf numFmtId="0" fontId="4" fillId="3" borderId="1" xfId="0" applyFont="1" applyFill="1" applyBorder="1" applyAlignment="1">
      <alignment wrapText="1"/>
    </xf>
    <xf numFmtId="0" fontId="3" fillId="3" borderId="1" xfId="0" applyFont="1" applyFill="1" applyBorder="1"/>
    <xf numFmtId="0" fontId="4" fillId="3" borderId="1" xfId="0" applyFont="1" applyFill="1" applyBorder="1"/>
    <xf numFmtId="0" fontId="3" fillId="3" borderId="1" xfId="0" applyFont="1" applyFill="1" applyBorder="1" applyAlignment="1">
      <alignment wrapText="1"/>
    </xf>
    <xf numFmtId="165" fontId="3" fillId="0" borderId="1" xfId="0" applyNumberFormat="1" applyFont="1" applyBorder="1"/>
    <xf numFmtId="2" fontId="2" fillId="0" borderId="1" xfId="0" applyNumberFormat="1" applyFont="1" applyBorder="1"/>
    <xf numFmtId="2" fontId="7" fillId="2" borderId="1" xfId="0" applyNumberFormat="1" applyFont="1" applyFill="1" applyBorder="1"/>
    <xf numFmtId="2" fontId="3" fillId="3" borderId="1" xfId="0" applyNumberFormat="1" applyFont="1" applyFill="1" applyBorder="1"/>
    <xf numFmtId="0" fontId="8" fillId="2" borderId="1" xfId="0" applyFont="1" applyFill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8" fillId="2" borderId="1" xfId="0" applyNumberFormat="1" applyFont="1" applyFill="1" applyBorder="1" applyAlignment="1">
      <alignment horizontal="center"/>
    </xf>
    <xf numFmtId="164" fontId="8" fillId="3" borderId="1" xfId="0" applyNumberFormat="1" applyFont="1" applyFill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7" fillId="3" borderId="1" xfId="0" applyNumberFormat="1" applyFont="1" applyFill="1" applyBorder="1"/>
    <xf numFmtId="164" fontId="3" fillId="3" borderId="1" xfId="0" applyNumberFormat="1" applyFont="1" applyFill="1" applyBorder="1" applyAlignment="1">
      <alignment horizontal="center"/>
    </xf>
    <xf numFmtId="0" fontId="7" fillId="3" borderId="1" xfId="0" applyFont="1" applyFill="1" applyBorder="1"/>
    <xf numFmtId="2" fontId="6" fillId="0" borderId="1" xfId="0" applyNumberFormat="1" applyFont="1" applyBorder="1"/>
    <xf numFmtId="0" fontId="6" fillId="0" borderId="1" xfId="0" applyFont="1" applyBorder="1"/>
    <xf numFmtId="2" fontId="3" fillId="4" borderId="1" xfId="0" applyNumberFormat="1" applyFont="1" applyFill="1" applyBorder="1"/>
    <xf numFmtId="0" fontId="3" fillId="4" borderId="1" xfId="0" applyFont="1" applyFill="1" applyBorder="1"/>
    <xf numFmtId="2" fontId="9" fillId="0" borderId="1" xfId="0" applyNumberFormat="1" applyFont="1" applyBorder="1"/>
    <xf numFmtId="164" fontId="3" fillId="5" borderId="1" xfId="0" applyNumberFormat="1" applyFont="1" applyFill="1" applyBorder="1" applyAlignment="1">
      <alignment horizontal="center"/>
    </xf>
    <xf numFmtId="166" fontId="3" fillId="0" borderId="1" xfId="0" applyNumberFormat="1" applyFont="1" applyBorder="1"/>
    <xf numFmtId="0" fontId="3" fillId="6" borderId="1" xfId="0" applyFont="1" applyFill="1" applyBorder="1"/>
    <xf numFmtId="2" fontId="3" fillId="6" borderId="1" xfId="0" applyNumberFormat="1" applyFont="1" applyFill="1" applyBorder="1"/>
    <xf numFmtId="0" fontId="3" fillId="7" borderId="1" xfId="0" applyFont="1" applyFill="1" applyBorder="1"/>
    <xf numFmtId="2" fontId="3" fillId="7" borderId="1" xfId="0" applyNumberFormat="1" applyFont="1" applyFill="1" applyBorder="1"/>
    <xf numFmtId="0" fontId="3" fillId="8" borderId="1" xfId="0" applyFont="1" applyFill="1" applyBorder="1"/>
    <xf numFmtId="0" fontId="1" fillId="8" borderId="1" xfId="0" applyFont="1" applyFill="1" applyBorder="1"/>
    <xf numFmtId="0" fontId="3" fillId="0" borderId="1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2" fontId="3" fillId="9" borderId="1" xfId="0" applyNumberFormat="1" applyFont="1" applyFill="1" applyBorder="1"/>
    <xf numFmtId="2" fontId="3" fillId="5" borderId="1" xfId="0" applyNumberFormat="1" applyFont="1" applyFill="1" applyBorder="1"/>
    <xf numFmtId="0" fontId="3" fillId="5" borderId="1" xfId="0" applyFont="1" applyFill="1" applyBorder="1"/>
    <xf numFmtId="165" fontId="3" fillId="5" borderId="1" xfId="0" applyNumberFormat="1" applyFont="1" applyFill="1" applyBorder="1"/>
    <xf numFmtId="164" fontId="9" fillId="0" borderId="1" xfId="0" applyNumberFormat="1" applyFont="1" applyBorder="1" applyAlignment="1">
      <alignment horizontal="center"/>
    </xf>
    <xf numFmtId="0" fontId="1" fillId="5" borderId="1" xfId="0" applyFont="1" applyFill="1" applyBorder="1"/>
    <xf numFmtId="2" fontId="9" fillId="5" borderId="1" xfId="0" applyNumberFormat="1" applyFont="1" applyFill="1" applyBorder="1"/>
    <xf numFmtId="2" fontId="7" fillId="5" borderId="1" xfId="0" applyNumberFormat="1" applyFont="1" applyFill="1" applyBorder="1"/>
    <xf numFmtId="0" fontId="4" fillId="5" borderId="1" xfId="0" applyFont="1" applyFill="1" applyBorder="1"/>
    <xf numFmtId="2" fontId="2" fillId="5" borderId="1" xfId="0" applyNumberFormat="1" applyFont="1" applyFill="1" applyBorder="1"/>
    <xf numFmtId="0" fontId="4" fillId="5" borderId="1" xfId="0" applyFont="1" applyFill="1" applyBorder="1" applyAlignment="1">
      <alignment wrapText="1"/>
    </xf>
    <xf numFmtId="0" fontId="1" fillId="5" borderId="1" xfId="0" applyFont="1" applyFill="1" applyBorder="1" applyAlignment="1">
      <alignment wrapText="1"/>
    </xf>
    <xf numFmtId="164" fontId="10" fillId="3" borderId="1" xfId="0" applyNumberFormat="1" applyFont="1" applyFill="1" applyBorder="1" applyAlignment="1">
      <alignment horizontal="center"/>
    </xf>
    <xf numFmtId="164" fontId="9" fillId="5" borderId="1" xfId="0" applyNumberFormat="1" applyFont="1" applyFill="1" applyBorder="1" applyAlignment="1">
      <alignment horizontal="center"/>
    </xf>
    <xf numFmtId="0" fontId="0" fillId="5" borderId="0" xfId="0" applyFill="1"/>
    <xf numFmtId="2" fontId="3" fillId="0" borderId="3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 horizontal="center"/>
    </xf>
    <xf numFmtId="2" fontId="3" fillId="0" borderId="5" xfId="0" applyNumberFormat="1" applyFont="1" applyBorder="1" applyAlignment="1">
      <alignment horizontal="center"/>
    </xf>
    <xf numFmtId="0" fontId="3" fillId="9" borderId="1" xfId="0" applyFont="1" applyFill="1" applyBorder="1"/>
    <xf numFmtId="166" fontId="3" fillId="0" borderId="5" xfId="0" applyNumberFormat="1" applyFont="1" applyBorder="1" applyAlignment="1">
      <alignment horizontal="center"/>
    </xf>
    <xf numFmtId="0" fontId="9" fillId="0" borderId="1" xfId="0" applyFont="1" applyBorder="1"/>
    <xf numFmtId="166" fontId="9" fillId="0" borderId="1" xfId="0" applyNumberFormat="1" applyFont="1" applyBorder="1"/>
    <xf numFmtId="0" fontId="9" fillId="5" borderId="1" xfId="0" applyFont="1" applyFill="1" applyBorder="1"/>
    <xf numFmtId="166" fontId="3" fillId="5" borderId="1" xfId="0" applyNumberFormat="1" applyFont="1" applyFill="1" applyBorder="1"/>
    <xf numFmtId="164" fontId="10" fillId="2" borderId="1" xfId="0" applyNumberFormat="1" applyFont="1" applyFill="1" applyBorder="1" applyAlignment="1">
      <alignment horizontal="center"/>
    </xf>
    <xf numFmtId="165" fontId="9" fillId="0" borderId="1" xfId="0" applyNumberFormat="1" applyFont="1" applyBorder="1"/>
    <xf numFmtId="0" fontId="12" fillId="0" borderId="0" xfId="0" applyFont="1"/>
    <xf numFmtId="0" fontId="3" fillId="5" borderId="1" xfId="0" applyFont="1" applyFill="1" applyBorder="1" applyAlignment="1">
      <alignment wrapText="1"/>
    </xf>
    <xf numFmtId="0" fontId="3" fillId="10" borderId="1" xfId="0" applyFont="1" applyFill="1" applyBorder="1"/>
    <xf numFmtId="2" fontId="3" fillId="10" borderId="1" xfId="0" applyNumberFormat="1" applyFont="1" applyFill="1" applyBorder="1"/>
    <xf numFmtId="164" fontId="3" fillId="10" borderId="1" xfId="0" applyNumberFormat="1" applyFont="1" applyFill="1" applyBorder="1" applyAlignment="1">
      <alignment horizontal="center"/>
    </xf>
    <xf numFmtId="164" fontId="3" fillId="9" borderId="1" xfId="0" applyNumberFormat="1" applyFont="1" applyFill="1" applyBorder="1" applyAlignment="1">
      <alignment horizontal="center"/>
    </xf>
    <xf numFmtId="164" fontId="3" fillId="11" borderId="1" xfId="0" applyNumberFormat="1" applyFont="1" applyFill="1" applyBorder="1" applyAlignment="1">
      <alignment horizontal="center"/>
    </xf>
    <xf numFmtId="0" fontId="3" fillId="11" borderId="1" xfId="0" applyFont="1" applyFill="1" applyBorder="1" applyAlignment="1">
      <alignment wrapText="1"/>
    </xf>
    <xf numFmtId="2" fontId="3" fillId="11" borderId="1" xfId="0" applyNumberFormat="1" applyFont="1" applyFill="1" applyBorder="1"/>
    <xf numFmtId="0" fontId="3" fillId="11" borderId="1" xfId="0" applyFont="1" applyFill="1" applyBorder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3" xfId="0" applyNumberFormat="1" applyFont="1" applyBorder="1" applyAlignment="1">
      <alignment horizontal="center"/>
    </xf>
    <xf numFmtId="0" fontId="3" fillId="0" borderId="4" xfId="0" applyNumberFormat="1" applyFont="1" applyBorder="1" applyAlignment="1">
      <alignment horizontal="center"/>
    </xf>
    <xf numFmtId="0" fontId="3" fillId="0" borderId="5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3" fillId="0" borderId="5" xfId="0" applyFont="1" applyBorder="1" applyAlignment="1">
      <alignment horizontal="center"/>
    </xf>
    <xf numFmtId="164" fontId="7" fillId="0" borderId="7" xfId="0" applyNumberFormat="1" applyFont="1" applyBorder="1" applyAlignment="1">
      <alignment horizontal="center" vertical="justify"/>
    </xf>
    <xf numFmtId="0" fontId="15" fillId="0" borderId="8" xfId="0" applyFont="1" applyBorder="1" applyAlignment="1">
      <alignment horizontal="center" vertical="justify"/>
    </xf>
    <xf numFmtId="0" fontId="15" fillId="0" borderId="9" xfId="0" applyFont="1" applyBorder="1" applyAlignment="1">
      <alignment horizontal="center" vertical="justify"/>
    </xf>
    <xf numFmtId="0" fontId="15" fillId="0" borderId="6" xfId="0" applyFont="1" applyBorder="1" applyAlignment="1">
      <alignment horizontal="center" vertical="justify"/>
    </xf>
    <xf numFmtId="0" fontId="15" fillId="0" borderId="0" xfId="0" applyFont="1" applyAlignment="1">
      <alignment horizontal="center" vertical="justify"/>
    </xf>
    <xf numFmtId="0" fontId="15" fillId="0" borderId="12" xfId="0" applyFont="1" applyBorder="1" applyAlignment="1">
      <alignment horizontal="center" vertical="justify"/>
    </xf>
    <xf numFmtId="0" fontId="15" fillId="0" borderId="10" xfId="0" applyFont="1" applyBorder="1" applyAlignment="1">
      <alignment horizontal="center" vertical="justify"/>
    </xf>
    <xf numFmtId="0" fontId="15" fillId="0" borderId="2" xfId="0" applyFont="1" applyBorder="1" applyAlignment="1">
      <alignment horizontal="center" vertical="justify"/>
    </xf>
    <xf numFmtId="0" fontId="15" fillId="0" borderId="11" xfId="0" applyFont="1" applyBorder="1" applyAlignment="1">
      <alignment horizontal="center" vertical="justify"/>
    </xf>
    <xf numFmtId="0" fontId="3" fillId="0" borderId="8" xfId="0" applyFont="1" applyBorder="1" applyAlignment="1">
      <alignment horizontal="center"/>
    </xf>
    <xf numFmtId="0" fontId="0" fillId="0" borderId="8" xfId="0" applyBorder="1" applyAlignment="1"/>
    <xf numFmtId="2" fontId="3" fillId="5" borderId="3" xfId="0" applyNumberFormat="1" applyFont="1" applyFill="1" applyBorder="1" applyAlignment="1">
      <alignment horizontal="center"/>
    </xf>
    <xf numFmtId="2" fontId="3" fillId="5" borderId="5" xfId="0" applyNumberFormat="1" applyFont="1" applyFill="1" applyBorder="1" applyAlignment="1">
      <alignment horizontal="center"/>
    </xf>
    <xf numFmtId="2" fontId="3" fillId="5" borderId="4" xfId="0" applyNumberFormat="1" applyFont="1" applyFill="1" applyBorder="1" applyAlignment="1">
      <alignment horizontal="center"/>
    </xf>
    <xf numFmtId="0" fontId="7" fillId="5" borderId="7" xfId="0" applyNumberFormat="1" applyFont="1" applyFill="1" applyBorder="1" applyAlignment="1">
      <alignment horizontal="center" wrapText="1"/>
    </xf>
    <xf numFmtId="0" fontId="15" fillId="0" borderId="8" xfId="0" applyNumberFormat="1" applyFont="1" applyBorder="1" applyAlignment="1">
      <alignment wrapText="1"/>
    </xf>
    <xf numFmtId="0" fontId="15" fillId="0" borderId="9" xfId="0" applyNumberFormat="1" applyFont="1" applyBorder="1" applyAlignment="1">
      <alignment wrapText="1"/>
    </xf>
    <xf numFmtId="0" fontId="15" fillId="0" borderId="6" xfId="0" applyNumberFormat="1" applyFont="1" applyBorder="1" applyAlignment="1">
      <alignment wrapText="1"/>
    </xf>
    <xf numFmtId="0" fontId="15" fillId="0" borderId="0" xfId="0" applyNumberFormat="1" applyFont="1" applyAlignment="1">
      <alignment wrapText="1"/>
    </xf>
    <xf numFmtId="0" fontId="15" fillId="0" borderId="12" xfId="0" applyNumberFormat="1" applyFont="1" applyBorder="1" applyAlignment="1">
      <alignment wrapText="1"/>
    </xf>
    <xf numFmtId="0" fontId="15" fillId="0" borderId="10" xfId="0" applyNumberFormat="1" applyFont="1" applyBorder="1" applyAlignment="1">
      <alignment wrapText="1"/>
    </xf>
    <xf numFmtId="0" fontId="15" fillId="0" borderId="2" xfId="0" applyNumberFormat="1" applyFont="1" applyBorder="1" applyAlignment="1">
      <alignment wrapText="1"/>
    </xf>
    <xf numFmtId="0" fontId="15" fillId="0" borderId="11" xfId="0" applyNumberFormat="1" applyFont="1" applyBorder="1" applyAlignment="1">
      <alignment wrapText="1"/>
    </xf>
    <xf numFmtId="2" fontId="3" fillId="0" borderId="3" xfId="0" applyNumberFormat="1" applyFont="1" applyBorder="1" applyAlignment="1">
      <alignment horizontal="center"/>
    </xf>
    <xf numFmtId="2" fontId="3" fillId="0" borderId="5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13" fillId="9" borderId="6" xfId="0" applyFont="1" applyFill="1" applyBorder="1" applyAlignment="1">
      <alignment horizontal="center"/>
    </xf>
    <xf numFmtId="0" fontId="13" fillId="9" borderId="0" xfId="0" applyFont="1" applyFill="1" applyAlignment="1">
      <alignment horizontal="center"/>
    </xf>
    <xf numFmtId="166" fontId="3" fillId="0" borderId="3" xfId="0" applyNumberFormat="1" applyFont="1" applyBorder="1" applyAlignment="1">
      <alignment horizontal="center"/>
    </xf>
    <xf numFmtId="166" fontId="3" fillId="0" borderId="5" xfId="0" applyNumberFormat="1" applyFont="1" applyBorder="1" applyAlignment="1">
      <alignment horizontal="center"/>
    </xf>
    <xf numFmtId="166" fontId="3" fillId="0" borderId="4" xfId="0" applyNumberFormat="1" applyFont="1" applyBorder="1" applyAlignment="1">
      <alignment horizontal="center"/>
    </xf>
    <xf numFmtId="0" fontId="0" fillId="0" borderId="5" xfId="0" applyBorder="1"/>
    <xf numFmtId="0" fontId="0" fillId="0" borderId="4" xfId="0" applyBorder="1"/>
    <xf numFmtId="0" fontId="3" fillId="0" borderId="3" xfId="0" applyNumberFormat="1" applyFont="1" applyBorder="1" applyAlignment="1">
      <alignment horizontal="center"/>
    </xf>
    <xf numFmtId="0" fontId="13" fillId="0" borderId="4" xfId="0" applyNumberFormat="1" applyFont="1" applyBorder="1" applyAlignment="1">
      <alignment horizontal="center"/>
    </xf>
    <xf numFmtId="0" fontId="0" fillId="0" borderId="5" xfId="0" applyNumberFormat="1" applyBorder="1" applyAlignment="1">
      <alignment horizontal="center"/>
    </xf>
    <xf numFmtId="0" fontId="0" fillId="0" borderId="4" xfId="0" applyNumberFormat="1" applyBorder="1" applyAlignment="1">
      <alignment horizontal="center"/>
    </xf>
    <xf numFmtId="0" fontId="3" fillId="4" borderId="3" xfId="0" applyNumberFormat="1" applyFont="1" applyFill="1" applyBorder="1" applyAlignment="1">
      <alignment horizontal="center"/>
    </xf>
    <xf numFmtId="0" fontId="13" fillId="0" borderId="5" xfId="0" applyNumberFormat="1" applyFont="1" applyBorder="1" applyAlignment="1">
      <alignment horizontal="center"/>
    </xf>
    <xf numFmtId="0" fontId="0" fillId="0" borderId="0" xfId="0"/>
    <xf numFmtId="0" fontId="0" fillId="0" borderId="2" xfId="0" applyBorder="1"/>
    <xf numFmtId="0" fontId="14" fillId="5" borderId="6" xfId="0" applyFont="1" applyFill="1" applyBorder="1" applyAlignment="1">
      <alignment horizontal="center"/>
    </xf>
    <xf numFmtId="0" fontId="14" fillId="5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99FF33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E67"/>
  <sheetViews>
    <sheetView topLeftCell="A49" workbookViewId="0">
      <selection activeCell="F49" sqref="F49"/>
    </sheetView>
  </sheetViews>
  <sheetFormatPr defaultRowHeight="13.8" x14ac:dyDescent="0.3"/>
  <cols>
    <col min="1" max="1" width="8.5546875" style="29" customWidth="1"/>
    <col min="2" max="2" width="51.88671875" customWidth="1"/>
    <col min="3" max="3" width="11.6640625" customWidth="1"/>
    <col min="4" max="4" width="11.88671875" customWidth="1"/>
    <col min="5" max="5" width="12.33203125" customWidth="1"/>
  </cols>
  <sheetData>
    <row r="2" spans="1:5" x14ac:dyDescent="0.3">
      <c r="A2" s="102" t="s">
        <v>117</v>
      </c>
      <c r="B2" s="102"/>
      <c r="C2" s="102"/>
      <c r="D2" s="102"/>
      <c r="E2" s="102"/>
    </row>
    <row r="3" spans="1:5" x14ac:dyDescent="0.3">
      <c r="A3" s="102"/>
      <c r="B3" s="102"/>
      <c r="C3" s="102"/>
      <c r="D3" s="102"/>
      <c r="E3" s="102"/>
    </row>
    <row r="4" spans="1:5" x14ac:dyDescent="0.3">
      <c r="A4" s="103"/>
      <c r="B4" s="103"/>
      <c r="C4" s="103"/>
      <c r="D4" s="103"/>
      <c r="E4" s="103"/>
    </row>
    <row r="5" spans="1:5" ht="15.6" x14ac:dyDescent="0.3">
      <c r="A5" s="97" t="s">
        <v>0</v>
      </c>
      <c r="B5" s="98"/>
      <c r="C5" s="97" t="s">
        <v>1</v>
      </c>
      <c r="D5" s="104"/>
      <c r="E5" s="98"/>
    </row>
    <row r="6" spans="1:5" ht="15.6" x14ac:dyDescent="0.3">
      <c r="A6" s="97" t="s">
        <v>2</v>
      </c>
      <c r="B6" s="98"/>
      <c r="C6" s="99">
        <v>1</v>
      </c>
      <c r="D6" s="100"/>
      <c r="E6" s="101"/>
    </row>
    <row r="7" spans="1:5" ht="15.6" x14ac:dyDescent="0.3">
      <c r="A7" s="97" t="s">
        <v>3</v>
      </c>
      <c r="B7" s="98"/>
      <c r="C7" s="99">
        <v>3251.5</v>
      </c>
      <c r="D7" s="100"/>
      <c r="E7" s="101"/>
    </row>
    <row r="8" spans="1:5" ht="15.6" x14ac:dyDescent="0.3">
      <c r="A8" s="97" t="s">
        <v>4</v>
      </c>
      <c r="B8" s="98"/>
      <c r="C8" s="99">
        <v>370</v>
      </c>
      <c r="D8" s="100"/>
      <c r="E8" s="101"/>
    </row>
    <row r="9" spans="1:5" ht="15.6" x14ac:dyDescent="0.3">
      <c r="A9" s="97" t="s">
        <v>5</v>
      </c>
      <c r="B9" s="98"/>
      <c r="C9" s="99">
        <v>7.5</v>
      </c>
      <c r="D9" s="100"/>
      <c r="E9" s="101"/>
    </row>
    <row r="10" spans="1:5" ht="15.6" x14ac:dyDescent="0.3">
      <c r="A10" s="97" t="s">
        <v>6</v>
      </c>
      <c r="B10" s="98"/>
      <c r="C10" s="99">
        <v>18600</v>
      </c>
      <c r="D10" s="100"/>
      <c r="E10" s="101"/>
    </row>
    <row r="11" spans="1:5" ht="15.6" x14ac:dyDescent="0.3">
      <c r="A11" s="50"/>
      <c r="B11" s="51" t="s">
        <v>56</v>
      </c>
      <c r="C11" s="50"/>
      <c r="D11" s="52">
        <f>C7*C9</f>
        <v>24386.25</v>
      </c>
      <c r="E11" s="51"/>
    </row>
    <row r="12" spans="1:5" ht="15.6" x14ac:dyDescent="0.3">
      <c r="A12" s="50"/>
      <c r="B12" s="51" t="s">
        <v>64</v>
      </c>
      <c r="C12" s="50"/>
      <c r="D12" s="52">
        <f>D11+(C10/12)</f>
        <v>25936.25</v>
      </c>
      <c r="E12" s="51"/>
    </row>
    <row r="13" spans="1:5" ht="15.6" x14ac:dyDescent="0.3">
      <c r="A13" s="97" t="s">
        <v>7</v>
      </c>
      <c r="B13" s="98"/>
      <c r="C13" s="97">
        <f>(C7*C9*12)+C10</f>
        <v>311235</v>
      </c>
      <c r="D13" s="104"/>
      <c r="E13" s="98"/>
    </row>
    <row r="14" spans="1:5" ht="15.6" x14ac:dyDescent="0.3">
      <c r="A14" s="97" t="s">
        <v>8</v>
      </c>
      <c r="B14" s="104"/>
      <c r="C14" s="104"/>
      <c r="D14" s="104"/>
      <c r="E14" s="98"/>
    </row>
    <row r="15" spans="1:5" ht="46.8" x14ac:dyDescent="0.3">
      <c r="A15" s="4"/>
      <c r="B15" s="10" t="s">
        <v>12</v>
      </c>
      <c r="C15" s="10" t="s">
        <v>13</v>
      </c>
      <c r="D15" s="11" t="s">
        <v>14</v>
      </c>
      <c r="E15" s="10" t="s">
        <v>15</v>
      </c>
    </row>
    <row r="16" spans="1:5" ht="18" x14ac:dyDescent="0.35">
      <c r="A16" s="23">
        <v>1</v>
      </c>
      <c r="B16" s="14" t="s">
        <v>9</v>
      </c>
      <c r="C16" s="21">
        <f>C17+C18</f>
        <v>7136.5780416666676</v>
      </c>
      <c r="D16" s="21">
        <f>D17+D18</f>
        <v>2.2746241862730026</v>
      </c>
      <c r="E16" s="21">
        <f>E17+E18</f>
        <v>85638.936499999996</v>
      </c>
    </row>
    <row r="17" spans="1:5" ht="15.6" x14ac:dyDescent="0.3">
      <c r="A17" s="24" t="s">
        <v>10</v>
      </c>
      <c r="B17" s="8" t="s">
        <v>11</v>
      </c>
      <c r="C17" s="54">
        <f>(D11*12.59%)+(C10*12.59%/12)</f>
        <v>3265.3738750000002</v>
      </c>
      <c r="D17" s="7">
        <f>C17/C7</f>
        <v>1.0042669152698755</v>
      </c>
      <c r="E17" s="7">
        <f>C17*12</f>
        <v>39184.486499999999</v>
      </c>
    </row>
    <row r="18" spans="1:5" ht="15.6" x14ac:dyDescent="0.3">
      <c r="A18" s="4" t="s">
        <v>16</v>
      </c>
      <c r="B18" s="8" t="s">
        <v>17</v>
      </c>
      <c r="C18" s="20">
        <f>SUM(C19:C21)</f>
        <v>3871.2041666666669</v>
      </c>
      <c r="D18" s="20">
        <f>SUM(D19:D22)</f>
        <v>1.2703572710031268</v>
      </c>
      <c r="E18" s="20">
        <f t="shared" ref="E18" si="0">SUM(E19:E21)</f>
        <v>46454.45</v>
      </c>
    </row>
    <row r="19" spans="1:5" ht="15.6" x14ac:dyDescent="0.3">
      <c r="A19" s="24" t="s">
        <v>18</v>
      </c>
      <c r="B19" s="8" t="s">
        <v>19</v>
      </c>
      <c r="C19" s="53">
        <f>E19/12</f>
        <v>2164.1666666666665</v>
      </c>
      <c r="D19" s="53">
        <f>C19/C7</f>
        <v>0.66559024040186576</v>
      </c>
      <c r="E19" s="53">
        <v>25970</v>
      </c>
    </row>
    <row r="20" spans="1:5" ht="42" x14ac:dyDescent="0.3">
      <c r="A20" s="24" t="s">
        <v>20</v>
      </c>
      <c r="B20" s="13" t="s">
        <v>21</v>
      </c>
      <c r="C20" s="7">
        <f>D20*C7</f>
        <v>877.90500000000009</v>
      </c>
      <c r="D20" s="2">
        <v>0.27</v>
      </c>
      <c r="E20" s="7">
        <f>C20*12</f>
        <v>10534.86</v>
      </c>
    </row>
    <row r="21" spans="1:5" ht="15.6" x14ac:dyDescent="0.3">
      <c r="A21" s="24" t="s">
        <v>22</v>
      </c>
      <c r="B21" s="8" t="s">
        <v>23</v>
      </c>
      <c r="C21" s="7">
        <f>D11*3.4%</f>
        <v>829.13250000000005</v>
      </c>
      <c r="D21" s="7">
        <f>C21/C7</f>
        <v>0.255</v>
      </c>
      <c r="E21" s="7">
        <f>C21*12</f>
        <v>9949.59</v>
      </c>
    </row>
    <row r="22" spans="1:5" ht="15.6" x14ac:dyDescent="0.3">
      <c r="A22" s="24" t="s">
        <v>66</v>
      </c>
      <c r="B22" s="8" t="s">
        <v>67</v>
      </c>
      <c r="C22" s="7">
        <f>E22/12</f>
        <v>259.36250000000001</v>
      </c>
      <c r="D22" s="7">
        <f>C22/C7</f>
        <v>7.976703060126096E-2</v>
      </c>
      <c r="E22" s="7">
        <f>C13*1%</f>
        <v>3112.35</v>
      </c>
    </row>
    <row r="23" spans="1:5" ht="18" x14ac:dyDescent="0.35">
      <c r="A23" s="25" t="s">
        <v>24</v>
      </c>
      <c r="B23" s="14" t="s">
        <v>25</v>
      </c>
      <c r="C23" s="21">
        <f>C24+C28+C34</f>
        <v>19442.273333333334</v>
      </c>
      <c r="D23" s="21">
        <f>D24+D28+D34</f>
        <v>5.9794781895535385</v>
      </c>
      <c r="E23" s="21">
        <f>E24+E28+E34</f>
        <v>233307.27999999997</v>
      </c>
    </row>
    <row r="24" spans="1:5" ht="17.399999999999999" x14ac:dyDescent="0.3">
      <c r="A24" s="26" t="s">
        <v>26</v>
      </c>
      <c r="B24" s="15" t="s">
        <v>27</v>
      </c>
      <c r="C24" s="22">
        <f>SUM(C25:C27)</f>
        <v>755.14166666666665</v>
      </c>
      <c r="D24" s="22">
        <f>SUM(D25:D27)</f>
        <v>0.23224409247014197</v>
      </c>
      <c r="E24" s="22">
        <f>SUM(E25:E27)</f>
        <v>9061.6999999999989</v>
      </c>
    </row>
    <row r="25" spans="1:5" ht="15.6" x14ac:dyDescent="0.3">
      <c r="A25" s="24" t="s">
        <v>28</v>
      </c>
      <c r="B25" s="13" t="s">
        <v>61</v>
      </c>
      <c r="C25" s="7">
        <f>D25*C7</f>
        <v>585.27</v>
      </c>
      <c r="D25" s="2">
        <v>0.18</v>
      </c>
      <c r="E25" s="7">
        <f>C25*12</f>
        <v>7023.24</v>
      </c>
    </row>
    <row r="26" spans="1:5" ht="15.6" x14ac:dyDescent="0.3">
      <c r="A26" s="24" t="s">
        <v>29</v>
      </c>
      <c r="B26" s="2" t="s">
        <v>30</v>
      </c>
      <c r="C26" s="7">
        <f>D26*C7</f>
        <v>162.57500000000002</v>
      </c>
      <c r="D26" s="2">
        <v>0.05</v>
      </c>
      <c r="E26" s="7">
        <f>C26*12</f>
        <v>1950.9</v>
      </c>
    </row>
    <row r="27" spans="1:5" ht="15.6" x14ac:dyDescent="0.3">
      <c r="A27" s="57" t="s">
        <v>31</v>
      </c>
      <c r="B27" s="55" t="s">
        <v>57</v>
      </c>
      <c r="C27" s="54">
        <f>E27/12</f>
        <v>7.2966666666666669</v>
      </c>
      <c r="D27" s="56">
        <f>C27/C7</f>
        <v>2.2440924701419857E-3</v>
      </c>
      <c r="E27" s="55">
        <f>87.56*1</f>
        <v>87.56</v>
      </c>
    </row>
    <row r="28" spans="1:5" ht="17.399999999999999" x14ac:dyDescent="0.3">
      <c r="A28" s="26" t="s">
        <v>32</v>
      </c>
      <c r="B28" s="17" t="s">
        <v>33</v>
      </c>
      <c r="C28" s="22">
        <f>SUM(C29:C33)</f>
        <v>9433.8100000000013</v>
      </c>
      <c r="D28" s="22">
        <f>SUM(D29:D33)</f>
        <v>2.9013716746117173</v>
      </c>
      <c r="E28" s="22">
        <f>SUM(E29:E33)</f>
        <v>113205.71999999999</v>
      </c>
    </row>
    <row r="29" spans="1:5" ht="15.6" x14ac:dyDescent="0.3">
      <c r="A29" s="24" t="s">
        <v>34</v>
      </c>
      <c r="B29" s="13" t="s">
        <v>62</v>
      </c>
      <c r="C29" s="7">
        <f>D29*C7</f>
        <v>5690.125</v>
      </c>
      <c r="D29" s="2">
        <v>1.75</v>
      </c>
      <c r="E29" s="7">
        <f>C29*12</f>
        <v>68281.5</v>
      </c>
    </row>
    <row r="30" spans="1:5" ht="15.6" x14ac:dyDescent="0.3">
      <c r="A30" s="57" t="s">
        <v>35</v>
      </c>
      <c r="B30" s="55" t="s">
        <v>36</v>
      </c>
      <c r="C30" s="55">
        <v>1175</v>
      </c>
      <c r="D30" s="7">
        <f>C30/C7</f>
        <v>0.36137167461171765</v>
      </c>
      <c r="E30" s="2">
        <f>C30*12</f>
        <v>14100</v>
      </c>
    </row>
    <row r="31" spans="1:5" ht="15.6" x14ac:dyDescent="0.3">
      <c r="A31" s="57" t="s">
        <v>37</v>
      </c>
      <c r="B31" s="2" t="s">
        <v>30</v>
      </c>
      <c r="C31" s="7">
        <f>D31*C7</f>
        <v>292.63499999999999</v>
      </c>
      <c r="D31" s="2">
        <v>0.09</v>
      </c>
      <c r="E31" s="7">
        <f>C31*12</f>
        <v>3511.62</v>
      </c>
    </row>
    <row r="32" spans="1:5" ht="15.6" x14ac:dyDescent="0.3">
      <c r="A32" s="57" t="s">
        <v>38</v>
      </c>
      <c r="B32" s="2" t="s">
        <v>40</v>
      </c>
      <c r="C32" s="7">
        <f>D32*C7</f>
        <v>97.545000000000002</v>
      </c>
      <c r="D32" s="2">
        <v>0.03</v>
      </c>
      <c r="E32" s="7">
        <f>C32*12</f>
        <v>1170.54</v>
      </c>
    </row>
    <row r="33" spans="1:5" ht="15.6" x14ac:dyDescent="0.3">
      <c r="A33" s="57" t="s">
        <v>39</v>
      </c>
      <c r="B33" s="2" t="s">
        <v>41</v>
      </c>
      <c r="C33" s="7">
        <f>D33*C7</f>
        <v>2178.5050000000001</v>
      </c>
      <c r="D33" s="2">
        <v>0.67</v>
      </c>
      <c r="E33" s="7">
        <f>C33*12</f>
        <v>26142.06</v>
      </c>
    </row>
    <row r="34" spans="1:5" ht="31.2" x14ac:dyDescent="0.3">
      <c r="A34" s="26" t="s">
        <v>42</v>
      </c>
      <c r="B34" s="18" t="s">
        <v>43</v>
      </c>
      <c r="C34" s="22">
        <f>SUM(C35:C40)</f>
        <v>9253.3216666666667</v>
      </c>
      <c r="D34" s="22">
        <f>SUM(D35:D40)</f>
        <v>2.8458624224716793</v>
      </c>
      <c r="E34" s="22">
        <f>SUM(E35:E40)</f>
        <v>111039.86</v>
      </c>
    </row>
    <row r="35" spans="1:5" ht="27" x14ac:dyDescent="0.3">
      <c r="A35" s="24" t="s">
        <v>44</v>
      </c>
      <c r="B35" s="12" t="s">
        <v>73</v>
      </c>
      <c r="C35" s="7">
        <f>D35*C7</f>
        <v>8226.2950000000001</v>
      </c>
      <c r="D35" s="2">
        <v>2.5299999999999998</v>
      </c>
      <c r="E35" s="7">
        <f>C35*12</f>
        <v>98715.540000000008</v>
      </c>
    </row>
    <row r="36" spans="1:5" ht="15.6" x14ac:dyDescent="0.3">
      <c r="A36" s="24" t="s">
        <v>46</v>
      </c>
      <c r="B36" s="58" t="s">
        <v>45</v>
      </c>
      <c r="C36" s="54">
        <f>D36*C7</f>
        <v>292.63499999999999</v>
      </c>
      <c r="D36" s="55">
        <v>0.09</v>
      </c>
      <c r="E36" s="7">
        <f t="shared" ref="E36:E40" si="1">C36*12</f>
        <v>3511.62</v>
      </c>
    </row>
    <row r="37" spans="1:5" ht="15.6" x14ac:dyDescent="0.3">
      <c r="A37" s="24" t="s">
        <v>47</v>
      </c>
      <c r="B37" s="55" t="s">
        <v>48</v>
      </c>
      <c r="C37" s="54">
        <f>D37*C7</f>
        <v>65.03</v>
      </c>
      <c r="D37" s="55">
        <v>0.02</v>
      </c>
      <c r="E37" s="7">
        <f t="shared" si="1"/>
        <v>780.36</v>
      </c>
    </row>
    <row r="38" spans="1:5" ht="15.6" x14ac:dyDescent="0.3">
      <c r="A38" s="24" t="s">
        <v>49</v>
      </c>
      <c r="B38" s="55" t="s">
        <v>50</v>
      </c>
      <c r="C38" s="54">
        <f>D38*C7</f>
        <v>97.545000000000002</v>
      </c>
      <c r="D38" s="55">
        <v>0.03</v>
      </c>
      <c r="E38" s="7">
        <f t="shared" si="1"/>
        <v>1170.54</v>
      </c>
    </row>
    <row r="39" spans="1:5" ht="15.6" x14ac:dyDescent="0.3">
      <c r="A39" s="57" t="s">
        <v>51</v>
      </c>
      <c r="B39" s="55" t="s">
        <v>52</v>
      </c>
      <c r="C39" s="59">
        <f>E39/12</f>
        <v>246.66666666666666</v>
      </c>
      <c r="D39" s="59">
        <f>C39/C7</f>
        <v>7.5862422471679736E-2</v>
      </c>
      <c r="E39" s="37">
        <f>C8*4*2</f>
        <v>2960</v>
      </c>
    </row>
    <row r="40" spans="1:5" ht="15.6" x14ac:dyDescent="0.3">
      <c r="A40" s="24" t="s">
        <v>53</v>
      </c>
      <c r="B40" s="2" t="s">
        <v>30</v>
      </c>
      <c r="C40" s="7">
        <f>D40*C7</f>
        <v>325.15000000000003</v>
      </c>
      <c r="D40" s="2">
        <v>0.1</v>
      </c>
      <c r="E40" s="7">
        <f t="shared" si="1"/>
        <v>3901.8</v>
      </c>
    </row>
    <row r="41" spans="1:5" ht="17.399999999999999" x14ac:dyDescent="0.3">
      <c r="A41" s="26" t="s">
        <v>68</v>
      </c>
      <c r="B41" s="16" t="s">
        <v>59</v>
      </c>
      <c r="C41" s="22">
        <f>D41*C7</f>
        <v>-2451.9638749999981</v>
      </c>
      <c r="D41" s="22">
        <f>C9-D16-D23</f>
        <v>-0.75410237582654105</v>
      </c>
      <c r="E41" s="22">
        <f>C41*12</f>
        <v>-29423.566499999979</v>
      </c>
    </row>
    <row r="42" spans="1:5" ht="15.6" x14ac:dyDescent="0.3">
      <c r="A42" s="38" t="s">
        <v>77</v>
      </c>
      <c r="B42" s="55"/>
      <c r="C42" s="54">
        <f t="shared" ref="C42:C47" si="2">E42/12</f>
        <v>0</v>
      </c>
      <c r="D42" s="54">
        <f>C42/C7</f>
        <v>0</v>
      </c>
      <c r="E42" s="54">
        <v>0</v>
      </c>
    </row>
    <row r="43" spans="1:5" ht="15.6" x14ac:dyDescent="0.3">
      <c r="A43" s="38" t="s">
        <v>79</v>
      </c>
      <c r="B43" s="55"/>
      <c r="C43" s="54">
        <f t="shared" si="2"/>
        <v>0</v>
      </c>
      <c r="D43" s="54">
        <f>C43/C7</f>
        <v>0</v>
      </c>
      <c r="E43" s="35"/>
    </row>
    <row r="44" spans="1:5" ht="15.6" x14ac:dyDescent="0.3">
      <c r="A44" s="38" t="s">
        <v>80</v>
      </c>
      <c r="B44" s="55"/>
      <c r="C44" s="54">
        <f t="shared" si="2"/>
        <v>0</v>
      </c>
      <c r="D44" s="54">
        <f>C44/C7</f>
        <v>0</v>
      </c>
      <c r="E44" s="35"/>
    </row>
    <row r="45" spans="1:5" ht="15.6" x14ac:dyDescent="0.3">
      <c r="A45" s="38" t="s">
        <v>81</v>
      </c>
      <c r="B45" s="55"/>
      <c r="C45" s="54">
        <f t="shared" si="2"/>
        <v>0</v>
      </c>
      <c r="D45" s="54">
        <f>C45/C7</f>
        <v>0</v>
      </c>
      <c r="E45" s="35"/>
    </row>
    <row r="46" spans="1:5" ht="15.6" x14ac:dyDescent="0.3">
      <c r="A46" s="38" t="s">
        <v>82</v>
      </c>
      <c r="B46" s="55"/>
      <c r="C46" s="54">
        <f t="shared" si="2"/>
        <v>0</v>
      </c>
      <c r="D46" s="54">
        <f>C46/C7</f>
        <v>0</v>
      </c>
      <c r="E46" s="35"/>
    </row>
    <row r="47" spans="1:5" ht="15.6" x14ac:dyDescent="0.3">
      <c r="A47" s="38" t="s">
        <v>83</v>
      </c>
      <c r="B47" s="55"/>
      <c r="C47" s="54">
        <f t="shared" si="2"/>
        <v>0</v>
      </c>
      <c r="D47" s="54">
        <f>C47/C7</f>
        <v>0</v>
      </c>
      <c r="E47" s="35"/>
    </row>
    <row r="48" spans="1:5" ht="15.6" x14ac:dyDescent="0.3">
      <c r="A48" s="38"/>
      <c r="B48" s="55"/>
      <c r="C48" s="54"/>
      <c r="D48" s="54"/>
      <c r="E48" s="35"/>
    </row>
    <row r="49" spans="1:5" ht="15.6" x14ac:dyDescent="0.3">
      <c r="A49" s="38"/>
      <c r="B49" s="55"/>
      <c r="C49" s="54"/>
      <c r="D49" s="54"/>
      <c r="E49" s="35"/>
    </row>
    <row r="50" spans="1:5" ht="15.6" x14ac:dyDescent="0.3">
      <c r="A50" s="38"/>
      <c r="B50" s="55"/>
      <c r="C50" s="54"/>
      <c r="D50" s="54"/>
      <c r="E50" s="35"/>
    </row>
    <row r="51" spans="1:5" ht="15.6" x14ac:dyDescent="0.3">
      <c r="A51" s="38"/>
      <c r="B51" s="55"/>
      <c r="C51" s="54"/>
      <c r="D51" s="54"/>
      <c r="E51" s="35"/>
    </row>
    <row r="52" spans="1:5" ht="15.6" x14ac:dyDescent="0.3">
      <c r="A52" s="38"/>
      <c r="B52" s="55"/>
      <c r="C52" s="54"/>
      <c r="D52" s="54"/>
      <c r="E52" s="35"/>
    </row>
    <row r="53" spans="1:5" ht="15.6" x14ac:dyDescent="0.3">
      <c r="A53" s="38"/>
      <c r="B53" s="55"/>
      <c r="C53" s="54"/>
      <c r="D53" s="54"/>
      <c r="E53" s="35"/>
    </row>
    <row r="54" spans="1:5" ht="15.6" x14ac:dyDescent="0.3">
      <c r="A54" s="38"/>
      <c r="B54" s="55"/>
      <c r="C54" s="54"/>
      <c r="D54" s="54"/>
      <c r="E54" s="35"/>
    </row>
    <row r="55" spans="1:5" ht="15.6" x14ac:dyDescent="0.3">
      <c r="A55" s="38"/>
      <c r="B55" s="55"/>
      <c r="C55" s="54"/>
      <c r="D55" s="54"/>
      <c r="E55" s="35"/>
    </row>
    <row r="56" spans="1:5" ht="15.6" x14ac:dyDescent="0.3">
      <c r="A56" s="24"/>
      <c r="B56" s="40" t="s">
        <v>70</v>
      </c>
      <c r="C56" s="41">
        <f>SUM(C42:C55)</f>
        <v>0</v>
      </c>
      <c r="D56" s="41">
        <f>SUM(D42:D55)</f>
        <v>0</v>
      </c>
      <c r="E56" s="40">
        <f>SUM(E42:E55)</f>
        <v>0</v>
      </c>
    </row>
    <row r="57" spans="1:5" ht="15.6" x14ac:dyDescent="0.3">
      <c r="A57" s="31"/>
      <c r="B57" s="32" t="s">
        <v>135</v>
      </c>
      <c r="C57" s="30">
        <f>D57*C7</f>
        <v>26838.213874999998</v>
      </c>
      <c r="D57" s="30">
        <f>D23+D16</f>
        <v>8.254102375826541</v>
      </c>
      <c r="E57" s="60">
        <f>C57*12</f>
        <v>322058.56649999996</v>
      </c>
    </row>
    <row r="58" spans="1:5" ht="15.6" x14ac:dyDescent="0.3">
      <c r="A58" s="31" t="s">
        <v>69</v>
      </c>
      <c r="B58" s="16" t="s">
        <v>65</v>
      </c>
      <c r="C58" s="16">
        <f>D58*C7</f>
        <v>1550.0000000000002</v>
      </c>
      <c r="D58" s="22">
        <f>C10/C7/12</f>
        <v>0.4767030601260957</v>
      </c>
      <c r="E58" s="55">
        <f>C58*12</f>
        <v>18600.000000000004</v>
      </c>
    </row>
    <row r="59" spans="1:5" ht="15.6" x14ac:dyDescent="0.3">
      <c r="A59" s="24" t="s">
        <v>74</v>
      </c>
      <c r="B59" s="73" t="s">
        <v>72</v>
      </c>
      <c r="C59" s="74">
        <f>E59/12</f>
        <v>1550</v>
      </c>
      <c r="D59" s="37">
        <f>C59/C7</f>
        <v>0.47670306012609565</v>
      </c>
      <c r="E59" s="75">
        <v>18600</v>
      </c>
    </row>
    <row r="60" spans="1:5" ht="15.6" x14ac:dyDescent="0.3">
      <c r="A60" s="24"/>
      <c r="B60" s="2"/>
      <c r="C60" s="39"/>
      <c r="D60" s="7"/>
      <c r="E60" s="55"/>
    </row>
    <row r="61" spans="1:5" ht="15.6" x14ac:dyDescent="0.3">
      <c r="A61" s="24"/>
      <c r="B61" s="2"/>
      <c r="C61" s="39"/>
      <c r="D61" s="7"/>
      <c r="E61" s="55"/>
    </row>
    <row r="62" spans="1:5" ht="15.6" x14ac:dyDescent="0.3">
      <c r="A62" s="4"/>
      <c r="B62" s="2"/>
      <c r="C62" s="39"/>
      <c r="D62" s="7"/>
      <c r="E62" s="55"/>
    </row>
    <row r="63" spans="1:5" ht="15.6" x14ac:dyDescent="0.3">
      <c r="A63" s="4"/>
      <c r="B63" s="42" t="s">
        <v>70</v>
      </c>
      <c r="C63" s="42"/>
      <c r="D63" s="43">
        <f>SUM(D59:D62)</f>
        <v>0.47670306012609565</v>
      </c>
      <c r="E63" s="42"/>
    </row>
    <row r="64" spans="1:5" ht="12.75" customHeight="1" x14ac:dyDescent="0.3">
      <c r="A64" s="28"/>
      <c r="B64" s="3"/>
      <c r="C64" s="3"/>
      <c r="D64" s="3"/>
      <c r="E64" s="3"/>
    </row>
    <row r="65" spans="1:5" ht="15.6" x14ac:dyDescent="0.3">
      <c r="A65" s="28"/>
      <c r="B65" s="3"/>
      <c r="C65" s="3"/>
      <c r="D65" s="3"/>
      <c r="E65" s="3"/>
    </row>
    <row r="66" spans="1:5" ht="15.6" x14ac:dyDescent="0.3">
      <c r="A66" s="28"/>
      <c r="B66" s="3"/>
      <c r="C66" s="3"/>
      <c r="D66" s="3"/>
      <c r="E66" s="3"/>
    </row>
    <row r="67" spans="1:5" ht="15.6" x14ac:dyDescent="0.3">
      <c r="A67" s="28"/>
      <c r="B67" s="3"/>
      <c r="C67" s="3"/>
      <c r="D67" s="3"/>
      <c r="E67" s="3"/>
    </row>
  </sheetData>
  <mergeCells count="16">
    <mergeCell ref="A13:B13"/>
    <mergeCell ref="C13:E13"/>
    <mergeCell ref="A14:E14"/>
    <mergeCell ref="A8:B8"/>
    <mergeCell ref="C8:E8"/>
    <mergeCell ref="A9:B9"/>
    <mergeCell ref="C9:E9"/>
    <mergeCell ref="A10:B10"/>
    <mergeCell ref="C10:E10"/>
    <mergeCell ref="A7:B7"/>
    <mergeCell ref="C7:E7"/>
    <mergeCell ref="A2:E4"/>
    <mergeCell ref="A5:B5"/>
    <mergeCell ref="C5:E5"/>
    <mergeCell ref="A6:B6"/>
    <mergeCell ref="C6:E6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8"/>
  <sheetViews>
    <sheetView topLeftCell="A34" workbookViewId="0">
      <selection activeCell="H59" sqref="H59"/>
    </sheetView>
  </sheetViews>
  <sheetFormatPr defaultRowHeight="13.8" x14ac:dyDescent="0.3"/>
  <cols>
    <col min="1" max="1" width="8.5546875" style="29" customWidth="1"/>
    <col min="2" max="2" width="51.88671875" customWidth="1"/>
    <col min="3" max="3" width="11.6640625" customWidth="1"/>
    <col min="4" max="4" width="11.88671875" customWidth="1"/>
    <col min="5" max="5" width="12.33203125" customWidth="1"/>
  </cols>
  <sheetData>
    <row r="2" spans="1:5" x14ac:dyDescent="0.3">
      <c r="A2" s="102" t="s">
        <v>107</v>
      </c>
      <c r="B2" s="102"/>
      <c r="C2" s="102"/>
      <c r="D2" s="102"/>
      <c r="E2" s="102"/>
    </row>
    <row r="3" spans="1:5" x14ac:dyDescent="0.3">
      <c r="A3" s="102"/>
      <c r="B3" s="102"/>
      <c r="C3" s="102"/>
      <c r="D3" s="102"/>
      <c r="E3" s="102"/>
    </row>
    <row r="4" spans="1:5" x14ac:dyDescent="0.3">
      <c r="A4" s="103"/>
      <c r="B4" s="103"/>
      <c r="C4" s="103"/>
      <c r="D4" s="103"/>
      <c r="E4" s="103"/>
    </row>
    <row r="5" spans="1:5" ht="15.6" x14ac:dyDescent="0.3">
      <c r="A5" s="97" t="s">
        <v>0</v>
      </c>
      <c r="B5" s="98"/>
      <c r="C5" s="97" t="s">
        <v>1</v>
      </c>
      <c r="D5" s="104"/>
      <c r="E5" s="98"/>
    </row>
    <row r="6" spans="1:5" ht="15.6" x14ac:dyDescent="0.3">
      <c r="A6" s="97" t="s">
        <v>2</v>
      </c>
      <c r="B6" s="98"/>
      <c r="C6" s="99">
        <v>6</v>
      </c>
      <c r="D6" s="100"/>
      <c r="E6" s="101"/>
    </row>
    <row r="7" spans="1:5" ht="15.6" x14ac:dyDescent="0.3">
      <c r="A7" s="97" t="s">
        <v>3</v>
      </c>
      <c r="B7" s="98"/>
      <c r="C7" s="99">
        <v>11658.61</v>
      </c>
      <c r="D7" s="100"/>
      <c r="E7" s="101"/>
    </row>
    <row r="8" spans="1:5" ht="15.6" x14ac:dyDescent="0.3">
      <c r="A8" s="97" t="s">
        <v>4</v>
      </c>
      <c r="B8" s="98"/>
      <c r="C8" s="99">
        <v>1288</v>
      </c>
      <c r="D8" s="100"/>
      <c r="E8" s="101"/>
    </row>
    <row r="9" spans="1:5" ht="15.6" x14ac:dyDescent="0.3">
      <c r="A9" s="97" t="s">
        <v>5</v>
      </c>
      <c r="B9" s="98"/>
      <c r="C9" s="99">
        <v>9</v>
      </c>
      <c r="D9" s="100"/>
      <c r="E9" s="101"/>
    </row>
    <row r="10" spans="1:5" ht="15.6" x14ac:dyDescent="0.3">
      <c r="A10" s="97" t="s">
        <v>6</v>
      </c>
      <c r="B10" s="98"/>
      <c r="C10" s="99">
        <v>360000</v>
      </c>
      <c r="D10" s="100"/>
      <c r="E10" s="101"/>
    </row>
    <row r="11" spans="1:5" ht="15.6" x14ac:dyDescent="0.3">
      <c r="A11" s="50"/>
      <c r="B11" s="51" t="s">
        <v>56</v>
      </c>
      <c r="C11" s="50"/>
      <c r="D11" s="52">
        <f>C7*C9</f>
        <v>104927.49</v>
      </c>
      <c r="E11" s="51"/>
    </row>
    <row r="12" spans="1:5" ht="15.6" x14ac:dyDescent="0.3">
      <c r="A12" s="50"/>
      <c r="B12" s="51" t="s">
        <v>64</v>
      </c>
      <c r="C12" s="50"/>
      <c r="D12" s="52">
        <f>D11+(C10/12)</f>
        <v>134927.49</v>
      </c>
      <c r="E12" s="51"/>
    </row>
    <row r="13" spans="1:5" ht="15.6" x14ac:dyDescent="0.3">
      <c r="A13" s="97" t="s">
        <v>7</v>
      </c>
      <c r="B13" s="98"/>
      <c r="C13" s="97">
        <f>(C7*C9*12)+C10</f>
        <v>1619129.8800000001</v>
      </c>
      <c r="D13" s="104"/>
      <c r="E13" s="98"/>
    </row>
    <row r="14" spans="1:5" ht="15.6" x14ac:dyDescent="0.3">
      <c r="A14" s="97" t="s">
        <v>8</v>
      </c>
      <c r="B14" s="104"/>
      <c r="C14" s="104"/>
      <c r="D14" s="104"/>
      <c r="E14" s="98"/>
    </row>
    <row r="15" spans="1:5" ht="46.8" x14ac:dyDescent="0.3">
      <c r="A15" s="4"/>
      <c r="B15" s="10" t="s">
        <v>12</v>
      </c>
      <c r="C15" s="10" t="s">
        <v>13</v>
      </c>
      <c r="D15" s="11" t="s">
        <v>14</v>
      </c>
      <c r="E15" s="10" t="s">
        <v>15</v>
      </c>
    </row>
    <row r="16" spans="1:5" ht="18" x14ac:dyDescent="0.35">
      <c r="A16" s="23">
        <v>1</v>
      </c>
      <c r="B16" s="14" t="s">
        <v>9</v>
      </c>
      <c r="C16" s="21">
        <f>C17+C18</f>
        <v>27961.813684333338</v>
      </c>
      <c r="D16" s="21">
        <f>D17+D18</f>
        <v>2.5141151976379117</v>
      </c>
      <c r="E16" s="21">
        <f>E17+E18</f>
        <v>335541.76421200007</v>
      </c>
    </row>
    <row r="17" spans="1:5" ht="15.6" x14ac:dyDescent="0.3">
      <c r="A17" s="24" t="s">
        <v>10</v>
      </c>
      <c r="B17" s="8" t="s">
        <v>11</v>
      </c>
      <c r="C17" s="54">
        <f>(D11*12.59%)+(C10*12.59%/12)</f>
        <v>16987.370991000003</v>
      </c>
      <c r="D17" s="7">
        <f>C17/C7</f>
        <v>1.4570665792062691</v>
      </c>
      <c r="E17" s="7">
        <f>C17*12</f>
        <v>203848.45189200004</v>
      </c>
    </row>
    <row r="18" spans="1:5" ht="15.6" x14ac:dyDescent="0.3">
      <c r="A18" s="4" t="s">
        <v>16</v>
      </c>
      <c r="B18" s="8" t="s">
        <v>17</v>
      </c>
      <c r="C18" s="20">
        <f>SUM(C19:C21)</f>
        <v>10974.442693333334</v>
      </c>
      <c r="D18" s="20">
        <f>SUM(D19:D22)</f>
        <v>1.0570486184316426</v>
      </c>
      <c r="E18" s="20">
        <f t="shared" ref="E18" si="0">SUM(E19:E21)</f>
        <v>131693.31232</v>
      </c>
    </row>
    <row r="19" spans="1:5" ht="15.6" x14ac:dyDescent="0.3">
      <c r="A19" s="24" t="s">
        <v>18</v>
      </c>
      <c r="B19" s="8" t="s">
        <v>19</v>
      </c>
      <c r="C19" s="7">
        <f>E19/12</f>
        <v>4259.083333333333</v>
      </c>
      <c r="D19" s="7">
        <f>C19/C7</f>
        <v>0.36531656289500486</v>
      </c>
      <c r="E19" s="54">
        <v>51109</v>
      </c>
    </row>
    <row r="20" spans="1:5" ht="42" x14ac:dyDescent="0.3">
      <c r="A20" s="24" t="s">
        <v>20</v>
      </c>
      <c r="B20" s="13" t="s">
        <v>21</v>
      </c>
      <c r="C20" s="7">
        <f>D20*C7</f>
        <v>3147.8247000000006</v>
      </c>
      <c r="D20" s="2">
        <v>0.27</v>
      </c>
      <c r="E20" s="7">
        <f>C20*12</f>
        <v>37773.896400000005</v>
      </c>
    </row>
    <row r="21" spans="1:5" ht="15.6" x14ac:dyDescent="0.3">
      <c r="A21" s="24" t="s">
        <v>22</v>
      </c>
      <c r="B21" s="8" t="s">
        <v>23</v>
      </c>
      <c r="C21" s="7">
        <f>D11*3.4%</f>
        <v>3567.5346600000003</v>
      </c>
      <c r="D21" s="7">
        <f>C21/C7</f>
        <v>0.30599999999999999</v>
      </c>
      <c r="E21" s="7">
        <f>C21*12</f>
        <v>42810.415919999999</v>
      </c>
    </row>
    <row r="22" spans="1:5" ht="15.6" x14ac:dyDescent="0.3">
      <c r="A22" s="24" t="s">
        <v>66</v>
      </c>
      <c r="B22" s="8" t="s">
        <v>67</v>
      </c>
      <c r="C22" s="7">
        <f>E22/12</f>
        <v>1349.2749000000001</v>
      </c>
      <c r="D22" s="7">
        <f>C22/C7</f>
        <v>0.11573205553663773</v>
      </c>
      <c r="E22" s="7">
        <f>C13*1%</f>
        <v>16191.298800000002</v>
      </c>
    </row>
    <row r="23" spans="1:5" ht="18" x14ac:dyDescent="0.35">
      <c r="A23" s="25" t="s">
        <v>24</v>
      </c>
      <c r="B23" s="14" t="s">
        <v>25</v>
      </c>
      <c r="C23" s="21">
        <f>C24+C28+C34</f>
        <v>70191.146066666668</v>
      </c>
      <c r="D23" s="21">
        <f>D24+D28+D34</f>
        <v>6.0205415625590586</v>
      </c>
      <c r="E23" s="21">
        <f>E24+E28+E34</f>
        <v>842293.75280000002</v>
      </c>
    </row>
    <row r="24" spans="1:5" ht="17.399999999999999" x14ac:dyDescent="0.3">
      <c r="A24" s="26" t="s">
        <v>26</v>
      </c>
      <c r="B24" s="15" t="s">
        <v>27</v>
      </c>
      <c r="C24" s="22">
        <f>SUM(C25:C27)</f>
        <v>2725.2603000000004</v>
      </c>
      <c r="D24" s="22">
        <f>SUM(D25:D27)</f>
        <v>0.23375516463797999</v>
      </c>
      <c r="E24" s="22">
        <f>SUM(E25:E27)</f>
        <v>32703.123600000003</v>
      </c>
    </row>
    <row r="25" spans="1:5" ht="15.6" x14ac:dyDescent="0.3">
      <c r="A25" s="24" t="s">
        <v>28</v>
      </c>
      <c r="B25" s="13" t="s">
        <v>61</v>
      </c>
      <c r="C25" s="7">
        <f>D25*C7</f>
        <v>2098.5498000000002</v>
      </c>
      <c r="D25" s="2">
        <v>0.18</v>
      </c>
      <c r="E25" s="7">
        <f>C25*12</f>
        <v>25182.597600000001</v>
      </c>
    </row>
    <row r="26" spans="1:5" ht="15.6" x14ac:dyDescent="0.3">
      <c r="A26" s="24" t="s">
        <v>29</v>
      </c>
      <c r="B26" s="2" t="s">
        <v>30</v>
      </c>
      <c r="C26" s="7">
        <f>D26*C7</f>
        <v>582.93050000000005</v>
      </c>
      <c r="D26" s="2">
        <v>0.05</v>
      </c>
      <c r="E26" s="7">
        <f>C26*12</f>
        <v>6995.1660000000011</v>
      </c>
    </row>
    <row r="27" spans="1:5" ht="15.6" x14ac:dyDescent="0.3">
      <c r="A27" s="57" t="s">
        <v>31</v>
      </c>
      <c r="B27" s="55" t="s">
        <v>57</v>
      </c>
      <c r="C27" s="2">
        <f>E27/12</f>
        <v>43.78</v>
      </c>
      <c r="D27" s="19">
        <f>C27/C7</f>
        <v>3.7551646379799992E-3</v>
      </c>
      <c r="E27" s="55">
        <f>87.56*6</f>
        <v>525.36</v>
      </c>
    </row>
    <row r="28" spans="1:5" ht="17.399999999999999" x14ac:dyDescent="0.3">
      <c r="A28" s="65" t="s">
        <v>32</v>
      </c>
      <c r="B28" s="17" t="s">
        <v>33</v>
      </c>
      <c r="C28" s="22">
        <f>SUM(C29:C33)</f>
        <v>34312.869400000003</v>
      </c>
      <c r="D28" s="22">
        <f>SUM(D29:D33)</f>
        <v>2.9431355367406575</v>
      </c>
      <c r="E28" s="22">
        <f>SUM(E29:E33)</f>
        <v>411754.43280000001</v>
      </c>
    </row>
    <row r="29" spans="1:5" ht="15.6" x14ac:dyDescent="0.3">
      <c r="A29" s="57" t="s">
        <v>34</v>
      </c>
      <c r="B29" s="13" t="s">
        <v>62</v>
      </c>
      <c r="C29" s="7">
        <f>D29*C7</f>
        <v>20402.567500000001</v>
      </c>
      <c r="D29" s="2">
        <v>1.75</v>
      </c>
      <c r="E29" s="7">
        <f>C29*12</f>
        <v>244830.81</v>
      </c>
    </row>
    <row r="30" spans="1:5" ht="15.6" x14ac:dyDescent="0.3">
      <c r="A30" s="57" t="s">
        <v>35</v>
      </c>
      <c r="B30" s="55" t="s">
        <v>36</v>
      </c>
      <c r="C30" s="55">
        <f>2350*2</f>
        <v>4700</v>
      </c>
      <c r="D30" s="54">
        <f>C30/C7</f>
        <v>0.40313553674065772</v>
      </c>
      <c r="E30" s="55">
        <f>C30*12</f>
        <v>56400</v>
      </c>
    </row>
    <row r="31" spans="1:5" ht="15.6" x14ac:dyDescent="0.3">
      <c r="A31" s="57" t="s">
        <v>37</v>
      </c>
      <c r="B31" s="2" t="s">
        <v>30</v>
      </c>
      <c r="C31" s="7">
        <f>D31*C7</f>
        <v>1049.2749000000001</v>
      </c>
      <c r="D31" s="2">
        <v>0.09</v>
      </c>
      <c r="E31" s="7">
        <f>C31*12</f>
        <v>12591.2988</v>
      </c>
    </row>
    <row r="32" spans="1:5" ht="15.6" x14ac:dyDescent="0.3">
      <c r="A32" s="57" t="s">
        <v>38</v>
      </c>
      <c r="B32" s="2" t="s">
        <v>40</v>
      </c>
      <c r="C32" s="7">
        <f>D32*C7</f>
        <v>349.75830000000002</v>
      </c>
      <c r="D32" s="2">
        <v>0.03</v>
      </c>
      <c r="E32" s="7">
        <f>C32*12</f>
        <v>4197.0996000000005</v>
      </c>
    </row>
    <row r="33" spans="1:5" ht="15.6" x14ac:dyDescent="0.3">
      <c r="A33" s="57" t="s">
        <v>39</v>
      </c>
      <c r="B33" s="2" t="s">
        <v>41</v>
      </c>
      <c r="C33" s="7">
        <f>D33*C7</f>
        <v>7811.2687000000005</v>
      </c>
      <c r="D33" s="2">
        <v>0.67</v>
      </c>
      <c r="E33" s="7">
        <f>C33*12</f>
        <v>93735.224400000006</v>
      </c>
    </row>
    <row r="34" spans="1:5" ht="31.2" x14ac:dyDescent="0.3">
      <c r="A34" s="26" t="s">
        <v>42</v>
      </c>
      <c r="B34" s="18" t="s">
        <v>43</v>
      </c>
      <c r="C34" s="22">
        <f>SUM(C35:C40)</f>
        <v>33153.01636666667</v>
      </c>
      <c r="D34" s="22">
        <f>SUM(D35:D40)</f>
        <v>2.8436508611804205</v>
      </c>
      <c r="E34" s="22">
        <f>SUM(E35:E40)</f>
        <v>397836.19640000002</v>
      </c>
    </row>
    <row r="35" spans="1:5" ht="27" x14ac:dyDescent="0.3">
      <c r="A35" s="24" t="s">
        <v>44</v>
      </c>
      <c r="B35" s="12" t="s">
        <v>73</v>
      </c>
      <c r="C35" s="7">
        <f>D35*C7</f>
        <v>29496.283299999999</v>
      </c>
      <c r="D35" s="2">
        <v>2.5299999999999998</v>
      </c>
      <c r="E35" s="7">
        <f>C35*12</f>
        <v>353955.3996</v>
      </c>
    </row>
    <row r="36" spans="1:5" ht="15.6" x14ac:dyDescent="0.3">
      <c r="A36" s="24" t="s">
        <v>46</v>
      </c>
      <c r="B36" s="58" t="s">
        <v>45</v>
      </c>
      <c r="C36" s="54">
        <f>D36*C7</f>
        <v>1049.2749000000001</v>
      </c>
      <c r="D36" s="55">
        <v>0.09</v>
      </c>
      <c r="E36" s="54">
        <f t="shared" ref="E36:E40" si="1">C36*12</f>
        <v>12591.2988</v>
      </c>
    </row>
    <row r="37" spans="1:5" ht="15.6" x14ac:dyDescent="0.3">
      <c r="A37" s="24" t="s">
        <v>47</v>
      </c>
      <c r="B37" s="55" t="s">
        <v>48</v>
      </c>
      <c r="C37" s="54">
        <f>D37*C7</f>
        <v>233.1722</v>
      </c>
      <c r="D37" s="55">
        <v>0.02</v>
      </c>
      <c r="E37" s="54">
        <f t="shared" si="1"/>
        <v>2798.0664000000002</v>
      </c>
    </row>
    <row r="38" spans="1:5" ht="15.6" x14ac:dyDescent="0.3">
      <c r="A38" s="24" t="s">
        <v>49</v>
      </c>
      <c r="B38" s="55" t="s">
        <v>50</v>
      </c>
      <c r="C38" s="54">
        <f>D38*C7</f>
        <v>349.75830000000002</v>
      </c>
      <c r="D38" s="55">
        <v>0.03</v>
      </c>
      <c r="E38" s="54">
        <f t="shared" si="1"/>
        <v>4197.0996000000005</v>
      </c>
    </row>
    <row r="39" spans="1:5" ht="15.6" x14ac:dyDescent="0.3">
      <c r="A39" s="57" t="s">
        <v>51</v>
      </c>
      <c r="B39" s="55" t="s">
        <v>52</v>
      </c>
      <c r="C39" s="59">
        <f>E39/12</f>
        <v>858.66666666666663</v>
      </c>
      <c r="D39" s="59">
        <f>C39/C7</f>
        <v>7.3650861180420871E-2</v>
      </c>
      <c r="E39" s="59">
        <f>C8*4*2</f>
        <v>10304</v>
      </c>
    </row>
    <row r="40" spans="1:5" ht="15.6" x14ac:dyDescent="0.3">
      <c r="A40" s="24" t="s">
        <v>53</v>
      </c>
      <c r="B40" s="55" t="s">
        <v>30</v>
      </c>
      <c r="C40" s="54">
        <f>D40*C7</f>
        <v>1165.8610000000001</v>
      </c>
      <c r="D40" s="55">
        <v>0.1</v>
      </c>
      <c r="E40" s="54">
        <f t="shared" si="1"/>
        <v>13990.332000000002</v>
      </c>
    </row>
    <row r="41" spans="1:5" ht="17.399999999999999" x14ac:dyDescent="0.3">
      <c r="A41" s="26" t="s">
        <v>68</v>
      </c>
      <c r="B41" s="16" t="s">
        <v>59</v>
      </c>
      <c r="C41" s="22">
        <f>D41*C7</f>
        <v>5425.2553490000009</v>
      </c>
      <c r="D41" s="22">
        <f>C9-D16-D23</f>
        <v>0.46534323980302972</v>
      </c>
      <c r="E41" s="22">
        <f>C41*12</f>
        <v>65103.064188000011</v>
      </c>
    </row>
    <row r="42" spans="1:5" ht="15.6" x14ac:dyDescent="0.3">
      <c r="A42" s="24" t="s">
        <v>77</v>
      </c>
      <c r="B42" s="2" t="s">
        <v>138</v>
      </c>
      <c r="C42" s="7">
        <f>E42/12</f>
        <v>5425.2550000000001</v>
      </c>
      <c r="D42" s="7">
        <f>C42/C7</f>
        <v>0.46534320986807176</v>
      </c>
      <c r="E42" s="55">
        <v>65103.06</v>
      </c>
    </row>
    <row r="43" spans="1:5" ht="15.6" x14ac:dyDescent="0.3">
      <c r="A43" s="24" t="s">
        <v>79</v>
      </c>
      <c r="B43" s="2"/>
      <c r="C43" s="7">
        <f>E43/12</f>
        <v>0</v>
      </c>
      <c r="D43" s="7">
        <f>C43/C7</f>
        <v>0</v>
      </c>
      <c r="E43" s="55"/>
    </row>
    <row r="44" spans="1:5" ht="15.6" x14ac:dyDescent="0.3">
      <c r="A44" s="24" t="s">
        <v>80</v>
      </c>
      <c r="B44" s="2"/>
      <c r="C44" s="7">
        <f>E44/12</f>
        <v>0</v>
      </c>
      <c r="D44" s="7">
        <f>C44/C7</f>
        <v>0</v>
      </c>
      <c r="E44" s="55"/>
    </row>
    <row r="45" spans="1:5" ht="15.6" x14ac:dyDescent="0.3">
      <c r="A45" s="24" t="s">
        <v>81</v>
      </c>
      <c r="B45" s="2"/>
      <c r="C45" s="7">
        <f>E45/12</f>
        <v>0</v>
      </c>
      <c r="D45" s="7">
        <f>C45/C7</f>
        <v>0</v>
      </c>
      <c r="E45" s="55"/>
    </row>
    <row r="46" spans="1:5" ht="15.6" x14ac:dyDescent="0.3">
      <c r="A46" s="24" t="s">
        <v>82</v>
      </c>
      <c r="B46" s="2"/>
      <c r="C46" s="7">
        <f>E46/12</f>
        <v>0</v>
      </c>
      <c r="D46" s="7">
        <f>C46/C7</f>
        <v>0</v>
      </c>
      <c r="E46" s="55"/>
    </row>
    <row r="47" spans="1:5" ht="15.6" x14ac:dyDescent="0.3">
      <c r="A47" s="24"/>
      <c r="B47" s="2"/>
      <c r="C47" s="7"/>
      <c r="D47" s="7"/>
      <c r="E47" s="55"/>
    </row>
    <row r="48" spans="1:5" ht="15.6" x14ac:dyDescent="0.3">
      <c r="A48" s="24"/>
      <c r="B48" s="2"/>
      <c r="C48" s="7"/>
      <c r="D48" s="7"/>
      <c r="E48" s="55"/>
    </row>
    <row r="49" spans="1:5" ht="15.6" x14ac:dyDescent="0.3">
      <c r="A49" s="24"/>
      <c r="B49" s="2"/>
      <c r="C49" s="7"/>
      <c r="D49" s="7"/>
      <c r="E49" s="55"/>
    </row>
    <row r="50" spans="1:5" ht="15.6" x14ac:dyDescent="0.3">
      <c r="A50" s="24"/>
      <c r="B50" s="2"/>
      <c r="C50" s="7"/>
      <c r="D50" s="7"/>
      <c r="E50" s="55"/>
    </row>
    <row r="51" spans="1:5" ht="15.6" x14ac:dyDescent="0.3">
      <c r="A51" s="24"/>
      <c r="B51" s="2"/>
      <c r="C51" s="7"/>
      <c r="D51" s="7"/>
      <c r="E51" s="55"/>
    </row>
    <row r="52" spans="1:5" ht="15.6" x14ac:dyDescent="0.3">
      <c r="A52" s="24"/>
      <c r="B52" s="2"/>
      <c r="C52" s="7"/>
      <c r="D52" s="7"/>
      <c r="E52" s="55"/>
    </row>
    <row r="53" spans="1:5" ht="15.6" x14ac:dyDescent="0.3">
      <c r="A53" s="24"/>
      <c r="B53" s="2"/>
      <c r="C53" s="7"/>
      <c r="D53" s="7"/>
      <c r="E53" s="55"/>
    </row>
    <row r="54" spans="1:5" ht="15.6" x14ac:dyDescent="0.3">
      <c r="A54" s="24"/>
      <c r="B54" s="2"/>
      <c r="C54" s="7"/>
      <c r="D54" s="7"/>
      <c r="E54" s="55"/>
    </row>
    <row r="55" spans="1:5" ht="15.6" x14ac:dyDescent="0.3">
      <c r="A55" s="24"/>
      <c r="B55" s="2"/>
      <c r="C55" s="7"/>
      <c r="D55" s="7"/>
      <c r="E55" s="55"/>
    </row>
    <row r="56" spans="1:5" ht="15.6" x14ac:dyDescent="0.3">
      <c r="A56" s="24"/>
      <c r="B56" s="40" t="s">
        <v>70</v>
      </c>
      <c r="C56" s="41">
        <f>SUM(C42:C55)</f>
        <v>5425.2550000000001</v>
      </c>
      <c r="D56" s="41">
        <f>SUM(D42:D55)</f>
        <v>0.46534320986807176</v>
      </c>
      <c r="E56" s="40">
        <f>SUM(E42:E55)</f>
        <v>65103.06</v>
      </c>
    </row>
    <row r="57" spans="1:5" ht="15.6" x14ac:dyDescent="0.3">
      <c r="A57" s="31"/>
      <c r="B57" s="32" t="s">
        <v>60</v>
      </c>
      <c r="C57" s="30">
        <f>D57*C7</f>
        <v>104927.49</v>
      </c>
      <c r="D57" s="30">
        <f>D41+D23+D16</f>
        <v>9</v>
      </c>
      <c r="E57" s="30">
        <f>C57*12</f>
        <v>1259129.8800000001</v>
      </c>
    </row>
    <row r="58" spans="1:5" ht="15.6" x14ac:dyDescent="0.3">
      <c r="A58" s="31" t="s">
        <v>69</v>
      </c>
      <c r="B58" s="16" t="s">
        <v>65</v>
      </c>
      <c r="C58" s="16">
        <f>D58*C7</f>
        <v>30000</v>
      </c>
      <c r="D58" s="22">
        <f>C10/C7/12</f>
        <v>2.5732055536637728</v>
      </c>
      <c r="E58" s="16">
        <f>C58*12</f>
        <v>360000</v>
      </c>
    </row>
    <row r="59" spans="1:5" ht="15.6" x14ac:dyDescent="0.3">
      <c r="A59" s="24" t="s">
        <v>74</v>
      </c>
      <c r="B59" s="55" t="s">
        <v>72</v>
      </c>
      <c r="C59" s="76">
        <f>E59/12</f>
        <v>5833.333333333333</v>
      </c>
      <c r="D59" s="54">
        <f>C59/C7</f>
        <v>0.50034552432351131</v>
      </c>
      <c r="E59" s="55">
        <v>70000</v>
      </c>
    </row>
    <row r="60" spans="1:5" ht="15.6" x14ac:dyDescent="0.3">
      <c r="A60" s="24" t="s">
        <v>75</v>
      </c>
      <c r="B60" s="55" t="s">
        <v>78</v>
      </c>
      <c r="C60" s="76">
        <f>E60/12</f>
        <v>3666.6666666666665</v>
      </c>
      <c r="D60" s="54">
        <f>C60/C7</f>
        <v>0.31450290100334999</v>
      </c>
      <c r="E60" s="55">
        <v>44000</v>
      </c>
    </row>
    <row r="61" spans="1:5" ht="15.6" x14ac:dyDescent="0.3">
      <c r="A61" s="24" t="s">
        <v>96</v>
      </c>
      <c r="B61" s="55" t="s">
        <v>108</v>
      </c>
      <c r="C61" s="76">
        <f>E61/12</f>
        <v>13750</v>
      </c>
      <c r="D61" s="54">
        <f>C61/C7</f>
        <v>1.1793858787625626</v>
      </c>
      <c r="E61" s="55">
        <v>165000</v>
      </c>
    </row>
    <row r="62" spans="1:5" ht="15.6" x14ac:dyDescent="0.3">
      <c r="A62" s="4" t="s">
        <v>98</v>
      </c>
      <c r="B62" s="55" t="s">
        <v>121</v>
      </c>
      <c r="C62" s="76">
        <f>E62/12</f>
        <v>6750</v>
      </c>
      <c r="D62" s="54">
        <f>C62/C7</f>
        <v>0.57897124957434887</v>
      </c>
      <c r="E62" s="55">
        <v>81000</v>
      </c>
    </row>
    <row r="63" spans="1:5" ht="15.6" x14ac:dyDescent="0.3">
      <c r="A63" s="4"/>
      <c r="B63" s="42" t="s">
        <v>70</v>
      </c>
      <c r="C63" s="42"/>
      <c r="D63" s="43">
        <f>SUM(D59:D62)</f>
        <v>2.5732055536637728</v>
      </c>
      <c r="E63" s="42"/>
    </row>
    <row r="64" spans="1:5" x14ac:dyDescent="0.3">
      <c r="A64" s="119" t="s">
        <v>166</v>
      </c>
      <c r="B64" s="120"/>
      <c r="C64" s="120"/>
      <c r="D64" s="120"/>
      <c r="E64" s="121"/>
    </row>
    <row r="65" spans="1:5" x14ac:dyDescent="0.3">
      <c r="A65" s="122"/>
      <c r="B65" s="123"/>
      <c r="C65" s="123"/>
      <c r="D65" s="123"/>
      <c r="E65" s="124"/>
    </row>
    <row r="66" spans="1:5" x14ac:dyDescent="0.3">
      <c r="A66" s="122"/>
      <c r="B66" s="123"/>
      <c r="C66" s="123"/>
      <c r="D66" s="123"/>
      <c r="E66" s="124"/>
    </row>
    <row r="67" spans="1:5" x14ac:dyDescent="0.3">
      <c r="A67" s="125"/>
      <c r="B67" s="126"/>
      <c r="C67" s="126"/>
      <c r="D67" s="126"/>
      <c r="E67" s="127"/>
    </row>
    <row r="68" spans="1:5" ht="42" customHeight="1" x14ac:dyDescent="0.3">
      <c r="A68" s="114" t="s">
        <v>167</v>
      </c>
      <c r="B68" s="115"/>
      <c r="C68" s="3"/>
      <c r="D68" s="3"/>
      <c r="E68" s="3"/>
    </row>
  </sheetData>
  <mergeCells count="18">
    <mergeCell ref="A10:B10"/>
    <mergeCell ref="C10:E10"/>
    <mergeCell ref="A64:E67"/>
    <mergeCell ref="A68:B68"/>
    <mergeCell ref="A7:B7"/>
    <mergeCell ref="C7:E7"/>
    <mergeCell ref="A13:B13"/>
    <mergeCell ref="C13:E13"/>
    <mergeCell ref="A14:E14"/>
    <mergeCell ref="A8:B8"/>
    <mergeCell ref="C8:E8"/>
    <mergeCell ref="A9:B9"/>
    <mergeCell ref="C9:E9"/>
    <mergeCell ref="A2:E4"/>
    <mergeCell ref="A5:B5"/>
    <mergeCell ref="C5:E5"/>
    <mergeCell ref="A6:B6"/>
    <mergeCell ref="C6:E6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8"/>
  <sheetViews>
    <sheetView topLeftCell="A44" workbookViewId="0">
      <selection activeCell="A60" sqref="A60:XFD62"/>
    </sheetView>
  </sheetViews>
  <sheetFormatPr defaultRowHeight="13.8" x14ac:dyDescent="0.3"/>
  <cols>
    <col min="1" max="1" width="8.5546875" style="29" customWidth="1"/>
    <col min="2" max="2" width="51.88671875" customWidth="1"/>
    <col min="3" max="3" width="11.6640625" customWidth="1"/>
    <col min="4" max="4" width="11.88671875" customWidth="1"/>
    <col min="5" max="5" width="12.33203125" customWidth="1"/>
  </cols>
  <sheetData>
    <row r="2" spans="1:5" x14ac:dyDescent="0.3">
      <c r="A2" s="102" t="s">
        <v>106</v>
      </c>
      <c r="B2" s="102"/>
      <c r="C2" s="102"/>
      <c r="D2" s="102"/>
      <c r="E2" s="102"/>
    </row>
    <row r="3" spans="1:5" x14ac:dyDescent="0.3">
      <c r="A3" s="102"/>
      <c r="B3" s="102"/>
      <c r="C3" s="102"/>
      <c r="D3" s="102"/>
      <c r="E3" s="102"/>
    </row>
    <row r="4" spans="1:5" x14ac:dyDescent="0.3">
      <c r="A4" s="103"/>
      <c r="B4" s="103"/>
      <c r="C4" s="103"/>
      <c r="D4" s="103"/>
      <c r="E4" s="103"/>
    </row>
    <row r="5" spans="1:5" ht="15.6" x14ac:dyDescent="0.3">
      <c r="A5" s="97" t="s">
        <v>0</v>
      </c>
      <c r="B5" s="98"/>
      <c r="C5" s="97" t="s">
        <v>1</v>
      </c>
      <c r="D5" s="104"/>
      <c r="E5" s="98"/>
    </row>
    <row r="6" spans="1:5" ht="15.6" x14ac:dyDescent="0.3">
      <c r="A6" s="97" t="s">
        <v>2</v>
      </c>
      <c r="B6" s="98"/>
      <c r="C6" s="99">
        <v>6</v>
      </c>
      <c r="D6" s="100"/>
      <c r="E6" s="101"/>
    </row>
    <row r="7" spans="1:5" ht="15.6" x14ac:dyDescent="0.3">
      <c r="A7" s="97" t="s">
        <v>3</v>
      </c>
      <c r="B7" s="98"/>
      <c r="C7" s="99">
        <v>11660.42</v>
      </c>
      <c r="D7" s="100"/>
      <c r="E7" s="101"/>
    </row>
    <row r="8" spans="1:5" ht="15.6" x14ac:dyDescent="0.3">
      <c r="A8" s="97" t="s">
        <v>4</v>
      </c>
      <c r="B8" s="98"/>
      <c r="C8" s="99">
        <v>1288</v>
      </c>
      <c r="D8" s="100"/>
      <c r="E8" s="101"/>
    </row>
    <row r="9" spans="1:5" ht="15.6" x14ac:dyDescent="0.3">
      <c r="A9" s="97" t="s">
        <v>5</v>
      </c>
      <c r="B9" s="98"/>
      <c r="C9" s="99">
        <v>9</v>
      </c>
      <c r="D9" s="100"/>
      <c r="E9" s="101"/>
    </row>
    <row r="10" spans="1:5" ht="15.6" x14ac:dyDescent="0.3">
      <c r="A10" s="97" t="s">
        <v>6</v>
      </c>
      <c r="B10" s="98"/>
      <c r="C10" s="99">
        <v>27000</v>
      </c>
      <c r="D10" s="100"/>
      <c r="E10" s="101"/>
    </row>
    <row r="11" spans="1:5" ht="15.6" x14ac:dyDescent="0.3">
      <c r="A11" s="50"/>
      <c r="B11" s="51" t="s">
        <v>56</v>
      </c>
      <c r="C11" s="50"/>
      <c r="D11" s="52">
        <f>C7*C9</f>
        <v>104943.78</v>
      </c>
      <c r="E11" s="51"/>
    </row>
    <row r="12" spans="1:5" ht="15.6" x14ac:dyDescent="0.3">
      <c r="A12" s="50"/>
      <c r="B12" s="51" t="s">
        <v>64</v>
      </c>
      <c r="C12" s="50"/>
      <c r="D12" s="52">
        <f>D11+(C10/12)</f>
        <v>107193.78</v>
      </c>
      <c r="E12" s="51"/>
    </row>
    <row r="13" spans="1:5" ht="15.6" x14ac:dyDescent="0.3">
      <c r="A13" s="97" t="s">
        <v>7</v>
      </c>
      <c r="B13" s="98"/>
      <c r="C13" s="97">
        <f>(C7*C9*12)+C10</f>
        <v>1286325.3599999999</v>
      </c>
      <c r="D13" s="104"/>
      <c r="E13" s="98"/>
    </row>
    <row r="14" spans="1:5" ht="15.6" x14ac:dyDescent="0.3">
      <c r="A14" s="97" t="s">
        <v>8</v>
      </c>
      <c r="B14" s="104"/>
      <c r="C14" s="104"/>
      <c r="D14" s="104"/>
      <c r="E14" s="98"/>
    </row>
    <row r="15" spans="1:5" ht="46.8" x14ac:dyDescent="0.3">
      <c r="A15" s="4"/>
      <c r="B15" s="10" t="s">
        <v>12</v>
      </c>
      <c r="C15" s="10" t="s">
        <v>13</v>
      </c>
      <c r="D15" s="11" t="s">
        <v>14</v>
      </c>
      <c r="E15" s="10" t="s">
        <v>15</v>
      </c>
    </row>
    <row r="16" spans="1:5" ht="18" x14ac:dyDescent="0.35">
      <c r="A16" s="23">
        <v>1</v>
      </c>
      <c r="B16" s="14" t="s">
        <v>9</v>
      </c>
      <c r="C16" s="21">
        <f>C17+C18</f>
        <v>26584.066288000002</v>
      </c>
      <c r="D16" s="21">
        <f>D17+D18</f>
        <v>2.3717845573315541</v>
      </c>
      <c r="E16" s="21">
        <f>E17+E18</f>
        <v>319008.79545600002</v>
      </c>
    </row>
    <row r="17" spans="1:5" ht="15.6" x14ac:dyDescent="0.3">
      <c r="A17" s="24" t="s">
        <v>10</v>
      </c>
      <c r="B17" s="8" t="s">
        <v>11</v>
      </c>
      <c r="C17" s="54">
        <f>(D11*14.56%)+(C10*14.56%/12)</f>
        <v>15607.414368000002</v>
      </c>
      <c r="D17" s="7">
        <f>C17/C7</f>
        <v>1.3384950428886782</v>
      </c>
      <c r="E17" s="7">
        <f>C17*12</f>
        <v>187288.97241600003</v>
      </c>
    </row>
    <row r="18" spans="1:5" ht="15.6" x14ac:dyDescent="0.3">
      <c r="A18" s="4" t="s">
        <v>16</v>
      </c>
      <c r="B18" s="8" t="s">
        <v>17</v>
      </c>
      <c r="C18" s="20">
        <f>SUM(C19:C21)</f>
        <v>10976.65192</v>
      </c>
      <c r="D18" s="20">
        <f>SUM(D19:D22)</f>
        <v>1.033289514442876</v>
      </c>
      <c r="E18" s="20">
        <f t="shared" ref="E18" si="0">SUM(E19:E21)</f>
        <v>131719.82303999999</v>
      </c>
    </row>
    <row r="19" spans="1:5" ht="15.6" x14ac:dyDescent="0.3">
      <c r="A19" s="24" t="s">
        <v>18</v>
      </c>
      <c r="B19" s="8" t="s">
        <v>19</v>
      </c>
      <c r="C19" s="7">
        <f>E19/12</f>
        <v>4260.25</v>
      </c>
      <c r="D19" s="7">
        <f>C19/C7</f>
        <v>0.36535990984887334</v>
      </c>
      <c r="E19" s="54">
        <v>51123</v>
      </c>
    </row>
    <row r="20" spans="1:5" ht="42" x14ac:dyDescent="0.3">
      <c r="A20" s="24" t="s">
        <v>20</v>
      </c>
      <c r="B20" s="13" t="s">
        <v>21</v>
      </c>
      <c r="C20" s="7">
        <f>D20*C7</f>
        <v>3148.3134</v>
      </c>
      <c r="D20" s="2">
        <v>0.27</v>
      </c>
      <c r="E20" s="7">
        <f>C20*12</f>
        <v>37779.760800000004</v>
      </c>
    </row>
    <row r="21" spans="1:5" ht="15.6" x14ac:dyDescent="0.3">
      <c r="A21" s="24" t="s">
        <v>22</v>
      </c>
      <c r="B21" s="8" t="s">
        <v>23</v>
      </c>
      <c r="C21" s="7">
        <f>D11*3.4%</f>
        <v>3568.0885200000002</v>
      </c>
      <c r="D21" s="7">
        <f>C21/C7</f>
        <v>0.30599999999999999</v>
      </c>
      <c r="E21" s="7">
        <f>C21*12</f>
        <v>42817.062239999999</v>
      </c>
    </row>
    <row r="22" spans="1:5" ht="15.6" x14ac:dyDescent="0.3">
      <c r="A22" s="24" t="s">
        <v>66</v>
      </c>
      <c r="B22" s="8" t="s">
        <v>67</v>
      </c>
      <c r="C22" s="7">
        <f>E22/12</f>
        <v>1071.9377999999999</v>
      </c>
      <c r="D22" s="7">
        <f>C22/C7</f>
        <v>9.1929604594002609E-2</v>
      </c>
      <c r="E22" s="7">
        <f>C13*1%</f>
        <v>12863.253599999998</v>
      </c>
    </row>
    <row r="23" spans="1:5" ht="18" x14ac:dyDescent="0.35">
      <c r="A23" s="25" t="s">
        <v>24</v>
      </c>
      <c r="B23" s="14" t="s">
        <v>25</v>
      </c>
      <c r="C23" s="21">
        <f>C24+C28+C34</f>
        <v>70201.17346666666</v>
      </c>
      <c r="D23" s="21">
        <f>D24+D28+D34</f>
        <v>6.0204669700290943</v>
      </c>
      <c r="E23" s="21">
        <f>E24+E28+E34</f>
        <v>842414.08159999992</v>
      </c>
    </row>
    <row r="24" spans="1:5" ht="17.399999999999999" x14ac:dyDescent="0.3">
      <c r="A24" s="26" t="s">
        <v>26</v>
      </c>
      <c r="B24" s="15" t="s">
        <v>27</v>
      </c>
      <c r="C24" s="22">
        <f>SUM(C25:C27)</f>
        <v>2725.6766000000002</v>
      </c>
      <c r="D24" s="22">
        <f>SUM(D25:D27)</f>
        <v>0.23375458173890817</v>
      </c>
      <c r="E24" s="22">
        <f>SUM(E25:E27)</f>
        <v>32708.119200000001</v>
      </c>
    </row>
    <row r="25" spans="1:5" ht="15.6" x14ac:dyDescent="0.3">
      <c r="A25" s="24" t="s">
        <v>28</v>
      </c>
      <c r="B25" s="13" t="s">
        <v>61</v>
      </c>
      <c r="C25" s="7">
        <f>D25*C7</f>
        <v>2098.8755999999998</v>
      </c>
      <c r="D25" s="2">
        <v>0.18</v>
      </c>
      <c r="E25" s="7">
        <f>C25*12</f>
        <v>25186.5072</v>
      </c>
    </row>
    <row r="26" spans="1:5" ht="15.6" x14ac:dyDescent="0.3">
      <c r="A26" s="24" t="s">
        <v>29</v>
      </c>
      <c r="B26" s="2" t="s">
        <v>30</v>
      </c>
      <c r="C26" s="7">
        <f>D26*C7</f>
        <v>583.02100000000007</v>
      </c>
      <c r="D26" s="2">
        <v>0.05</v>
      </c>
      <c r="E26" s="7">
        <f>C26*12</f>
        <v>6996.2520000000004</v>
      </c>
    </row>
    <row r="27" spans="1:5" ht="15.6" x14ac:dyDescent="0.3">
      <c r="A27" s="57" t="s">
        <v>31</v>
      </c>
      <c r="B27" s="55" t="s">
        <v>57</v>
      </c>
      <c r="C27" s="55">
        <f>E27/12</f>
        <v>43.78</v>
      </c>
      <c r="D27" s="56">
        <f>C27/C7</f>
        <v>3.754581738908204E-3</v>
      </c>
      <c r="E27" s="55">
        <f>87.56*6</f>
        <v>525.36</v>
      </c>
    </row>
    <row r="28" spans="1:5" ht="17.399999999999999" x14ac:dyDescent="0.3">
      <c r="A28" s="65" t="s">
        <v>32</v>
      </c>
      <c r="B28" s="17" t="s">
        <v>33</v>
      </c>
      <c r="C28" s="22">
        <f>SUM(C29:C33)</f>
        <v>34317.466800000002</v>
      </c>
      <c r="D28" s="22">
        <f>SUM(D29:D33)</f>
        <v>2.943072959636102</v>
      </c>
      <c r="E28" s="22">
        <f>SUM(E29:E33)</f>
        <v>411809.60159999999</v>
      </c>
    </row>
    <row r="29" spans="1:5" ht="15.6" x14ac:dyDescent="0.3">
      <c r="A29" s="57" t="s">
        <v>34</v>
      </c>
      <c r="B29" s="13" t="s">
        <v>62</v>
      </c>
      <c r="C29" s="7">
        <f>D29*C7</f>
        <v>20405.735000000001</v>
      </c>
      <c r="D29" s="2">
        <v>1.75</v>
      </c>
      <c r="E29" s="7">
        <f>C29*12</f>
        <v>244868.82</v>
      </c>
    </row>
    <row r="30" spans="1:5" ht="15.6" x14ac:dyDescent="0.3">
      <c r="A30" s="57" t="s">
        <v>35</v>
      </c>
      <c r="B30" s="55" t="s">
        <v>36</v>
      </c>
      <c r="C30" s="55">
        <v>4700</v>
      </c>
      <c r="D30" s="54">
        <f>C30/C7</f>
        <v>0.40307295963610229</v>
      </c>
      <c r="E30" s="2">
        <f>C30*12</f>
        <v>56400</v>
      </c>
    </row>
    <row r="31" spans="1:5" ht="15.6" x14ac:dyDescent="0.3">
      <c r="A31" s="57" t="s">
        <v>37</v>
      </c>
      <c r="B31" s="2" t="s">
        <v>30</v>
      </c>
      <c r="C31" s="7">
        <f>D31*C7</f>
        <v>1049.4377999999999</v>
      </c>
      <c r="D31" s="2">
        <v>0.09</v>
      </c>
      <c r="E31" s="7">
        <f>C31*12</f>
        <v>12593.2536</v>
      </c>
    </row>
    <row r="32" spans="1:5" ht="15.6" x14ac:dyDescent="0.3">
      <c r="A32" s="57" t="s">
        <v>38</v>
      </c>
      <c r="B32" s="2" t="s">
        <v>40</v>
      </c>
      <c r="C32" s="7">
        <f>D32*C7</f>
        <v>349.81259999999997</v>
      </c>
      <c r="D32" s="2">
        <v>0.03</v>
      </c>
      <c r="E32" s="7">
        <f>C32*12</f>
        <v>4197.7511999999997</v>
      </c>
    </row>
    <row r="33" spans="1:5" ht="15.6" x14ac:dyDescent="0.3">
      <c r="A33" s="57" t="s">
        <v>39</v>
      </c>
      <c r="B33" s="2" t="s">
        <v>41</v>
      </c>
      <c r="C33" s="7">
        <f>D33*C7</f>
        <v>7812.4814000000006</v>
      </c>
      <c r="D33" s="2">
        <v>0.67</v>
      </c>
      <c r="E33" s="7">
        <f>C33*12</f>
        <v>93749.776800000007</v>
      </c>
    </row>
    <row r="34" spans="1:5" ht="31.2" x14ac:dyDescent="0.3">
      <c r="A34" s="26" t="s">
        <v>42</v>
      </c>
      <c r="B34" s="18" t="s">
        <v>43</v>
      </c>
      <c r="C34" s="22">
        <f>SUM(C35:C40)</f>
        <v>33158.030066666666</v>
      </c>
      <c r="D34" s="22">
        <f>SUM(D35:D40)</f>
        <v>2.8436394286540847</v>
      </c>
      <c r="E34" s="22">
        <f>SUM(E35:E40)</f>
        <v>397896.36079999997</v>
      </c>
    </row>
    <row r="35" spans="1:5" ht="27" x14ac:dyDescent="0.3">
      <c r="A35" s="24" t="s">
        <v>44</v>
      </c>
      <c r="B35" s="12" t="s">
        <v>73</v>
      </c>
      <c r="C35" s="7">
        <f>D35*C7</f>
        <v>29500.862599999997</v>
      </c>
      <c r="D35" s="2">
        <v>2.5299999999999998</v>
      </c>
      <c r="E35" s="7">
        <f>C35*12</f>
        <v>354010.35119999998</v>
      </c>
    </row>
    <row r="36" spans="1:5" ht="15.6" x14ac:dyDescent="0.3">
      <c r="A36" s="24" t="s">
        <v>46</v>
      </c>
      <c r="B36" s="58" t="s">
        <v>45</v>
      </c>
      <c r="C36" s="7">
        <f>D36*C7</f>
        <v>1049.4377999999999</v>
      </c>
      <c r="D36" s="2">
        <v>0.09</v>
      </c>
      <c r="E36" s="7">
        <f t="shared" ref="E36:E40" si="1">C36*12</f>
        <v>12593.2536</v>
      </c>
    </row>
    <row r="37" spans="1:5" ht="15.6" x14ac:dyDescent="0.3">
      <c r="A37" s="24" t="s">
        <v>47</v>
      </c>
      <c r="B37" s="55" t="s">
        <v>48</v>
      </c>
      <c r="C37" s="7">
        <f>D37*C7</f>
        <v>233.20840000000001</v>
      </c>
      <c r="D37" s="2">
        <v>0.02</v>
      </c>
      <c r="E37" s="7">
        <f t="shared" si="1"/>
        <v>2798.5008000000003</v>
      </c>
    </row>
    <row r="38" spans="1:5" ht="15.6" x14ac:dyDescent="0.3">
      <c r="A38" s="24" t="s">
        <v>49</v>
      </c>
      <c r="B38" s="55" t="s">
        <v>50</v>
      </c>
      <c r="C38" s="7">
        <f>D38*C7</f>
        <v>349.81259999999997</v>
      </c>
      <c r="D38" s="2">
        <v>0.03</v>
      </c>
      <c r="E38" s="7">
        <f t="shared" si="1"/>
        <v>4197.7511999999997</v>
      </c>
    </row>
    <row r="39" spans="1:5" ht="15.6" x14ac:dyDescent="0.3">
      <c r="A39" s="57" t="s">
        <v>51</v>
      </c>
      <c r="B39" s="55" t="s">
        <v>52</v>
      </c>
      <c r="C39" s="37">
        <f>E39/12</f>
        <v>858.66666666666663</v>
      </c>
      <c r="D39" s="59">
        <f>C39/C7</f>
        <v>7.3639428654085071E-2</v>
      </c>
      <c r="E39" s="37">
        <f>C8*4*2</f>
        <v>10304</v>
      </c>
    </row>
    <row r="40" spans="1:5" ht="15.6" x14ac:dyDescent="0.3">
      <c r="A40" s="24" t="s">
        <v>53</v>
      </c>
      <c r="B40" s="2" t="s">
        <v>30</v>
      </c>
      <c r="C40" s="7">
        <f>D40*C7</f>
        <v>1166.0420000000001</v>
      </c>
      <c r="D40" s="2">
        <v>0.1</v>
      </c>
      <c r="E40" s="7">
        <f t="shared" si="1"/>
        <v>13992.504000000001</v>
      </c>
    </row>
    <row r="41" spans="1:5" ht="17.399999999999999" x14ac:dyDescent="0.3">
      <c r="A41" s="26" t="s">
        <v>68</v>
      </c>
      <c r="B41" s="16" t="s">
        <v>59</v>
      </c>
      <c r="C41" s="22">
        <f>D41*C7</f>
        <v>7086.6024453333484</v>
      </c>
      <c r="D41" s="22">
        <f>C9-D16-D23</f>
        <v>0.60774847263935161</v>
      </c>
      <c r="E41" s="22">
        <f>C41*12</f>
        <v>85039.229344000181</v>
      </c>
    </row>
    <row r="42" spans="1:5" ht="15.6" x14ac:dyDescent="0.3">
      <c r="A42" s="24" t="s">
        <v>77</v>
      </c>
      <c r="B42" s="81" t="s">
        <v>78</v>
      </c>
      <c r="C42" s="82">
        <f>E42/12</f>
        <v>3333.3333333333335</v>
      </c>
      <c r="D42" s="82">
        <f>C42/C7</f>
        <v>0.28586734725964702</v>
      </c>
      <c r="E42" s="81">
        <v>40000</v>
      </c>
    </row>
    <row r="43" spans="1:5" ht="15.6" x14ac:dyDescent="0.3">
      <c r="A43" s="24" t="s">
        <v>79</v>
      </c>
      <c r="B43" s="2" t="s">
        <v>139</v>
      </c>
      <c r="C43" s="54">
        <f>E43/12</f>
        <v>3753.2691666666669</v>
      </c>
      <c r="D43" s="54">
        <f>C43/C7</f>
        <v>0.32188113006792785</v>
      </c>
      <c r="E43" s="55">
        <v>45039.23</v>
      </c>
    </row>
    <row r="44" spans="1:5" ht="15.6" x14ac:dyDescent="0.3">
      <c r="A44" s="24" t="s">
        <v>80</v>
      </c>
      <c r="B44" s="2"/>
      <c r="C44" s="54">
        <f>E44/12</f>
        <v>0</v>
      </c>
      <c r="D44" s="54">
        <f>C44/C7</f>
        <v>0</v>
      </c>
      <c r="E44" s="55"/>
    </row>
    <row r="45" spans="1:5" ht="15.6" x14ac:dyDescent="0.3">
      <c r="A45" s="24" t="s">
        <v>81</v>
      </c>
      <c r="B45" s="2"/>
      <c r="C45" s="7">
        <f t="shared" ref="C45:C50" si="2">E45/12</f>
        <v>0</v>
      </c>
      <c r="D45" s="7">
        <f>C45/C7</f>
        <v>0</v>
      </c>
      <c r="E45" s="55"/>
    </row>
    <row r="46" spans="1:5" ht="15.6" x14ac:dyDescent="0.3">
      <c r="A46" s="24" t="s">
        <v>82</v>
      </c>
      <c r="B46" s="2"/>
      <c r="C46" s="7">
        <f>E46/12</f>
        <v>0</v>
      </c>
      <c r="D46" s="7">
        <f>C46/C7</f>
        <v>0</v>
      </c>
      <c r="E46" s="55"/>
    </row>
    <row r="47" spans="1:5" ht="15.6" x14ac:dyDescent="0.3">
      <c r="A47" s="24" t="s">
        <v>83</v>
      </c>
      <c r="B47" s="2"/>
      <c r="C47" s="7">
        <f t="shared" si="2"/>
        <v>0</v>
      </c>
      <c r="D47" s="7">
        <f>C47/C7</f>
        <v>0</v>
      </c>
      <c r="E47" s="55"/>
    </row>
    <row r="48" spans="1:5" ht="15.6" x14ac:dyDescent="0.3">
      <c r="A48" s="24" t="s">
        <v>132</v>
      </c>
      <c r="B48" s="2"/>
      <c r="C48" s="7">
        <f t="shared" si="2"/>
        <v>0</v>
      </c>
      <c r="D48" s="7">
        <f>C48/C7</f>
        <v>0</v>
      </c>
      <c r="E48" s="55"/>
    </row>
    <row r="49" spans="1:5" ht="15.6" x14ac:dyDescent="0.3">
      <c r="A49" s="38" t="s">
        <v>133</v>
      </c>
      <c r="B49" s="2"/>
      <c r="C49" s="7">
        <f t="shared" si="2"/>
        <v>0</v>
      </c>
      <c r="D49" s="7">
        <f>C49/C7</f>
        <v>0</v>
      </c>
      <c r="E49" s="55"/>
    </row>
    <row r="50" spans="1:5" ht="15.6" x14ac:dyDescent="0.3">
      <c r="A50" s="24" t="s">
        <v>134</v>
      </c>
      <c r="B50" s="2"/>
      <c r="C50" s="7">
        <f t="shared" si="2"/>
        <v>0</v>
      </c>
      <c r="D50" s="7">
        <f>C50/C7</f>
        <v>0</v>
      </c>
      <c r="E50" s="55"/>
    </row>
    <row r="51" spans="1:5" ht="15.6" x14ac:dyDescent="0.3">
      <c r="A51" s="24"/>
      <c r="B51" s="2"/>
      <c r="C51" s="7"/>
      <c r="D51" s="7"/>
      <c r="E51" s="55"/>
    </row>
    <row r="52" spans="1:5" ht="15.6" x14ac:dyDescent="0.3">
      <c r="A52" s="24"/>
      <c r="B52" s="2"/>
      <c r="C52" s="7"/>
      <c r="D52" s="7"/>
      <c r="E52" s="55"/>
    </row>
    <row r="53" spans="1:5" ht="15.6" x14ac:dyDescent="0.3">
      <c r="A53" s="24"/>
      <c r="B53" s="2"/>
      <c r="C53" s="7"/>
      <c r="D53" s="7"/>
      <c r="E53" s="55"/>
    </row>
    <row r="54" spans="1:5" ht="15.6" x14ac:dyDescent="0.3">
      <c r="A54" s="24"/>
      <c r="B54" s="2"/>
      <c r="C54" s="7"/>
      <c r="D54" s="7"/>
      <c r="E54" s="55"/>
    </row>
    <row r="55" spans="1:5" ht="15.6" x14ac:dyDescent="0.3">
      <c r="A55" s="24"/>
      <c r="B55" s="2"/>
      <c r="C55" s="7"/>
      <c r="D55" s="7"/>
      <c r="E55" s="55"/>
    </row>
    <row r="56" spans="1:5" ht="15.6" x14ac:dyDescent="0.3">
      <c r="A56" s="24"/>
      <c r="B56" s="40" t="s">
        <v>70</v>
      </c>
      <c r="C56" s="41">
        <f>SUM(C42:C55)</f>
        <v>7086.6025000000009</v>
      </c>
      <c r="D56" s="41">
        <f>SUM(D42:D55)</f>
        <v>0.60774847732757487</v>
      </c>
      <c r="E56" s="40">
        <f>SUM(E42:E55)</f>
        <v>85039.23000000001</v>
      </c>
    </row>
    <row r="57" spans="1:5" ht="15.6" x14ac:dyDescent="0.3">
      <c r="A57" s="31"/>
      <c r="B57" s="32" t="s">
        <v>60</v>
      </c>
      <c r="C57" s="30">
        <f>D57*C7</f>
        <v>104943.78</v>
      </c>
      <c r="D57" s="30">
        <f>D41+D23+D16</f>
        <v>9</v>
      </c>
      <c r="E57" s="30">
        <f>C57*12</f>
        <v>1259325.3599999999</v>
      </c>
    </row>
    <row r="58" spans="1:5" ht="15.6" x14ac:dyDescent="0.3">
      <c r="A58" s="31" t="s">
        <v>69</v>
      </c>
      <c r="B58" s="16" t="s">
        <v>65</v>
      </c>
      <c r="C58" s="16">
        <f>D58*C7</f>
        <v>2250</v>
      </c>
      <c r="D58" s="22">
        <f>C10/C7/12</f>
        <v>0.19296045940026174</v>
      </c>
      <c r="E58" s="16">
        <f>C58*12</f>
        <v>27000</v>
      </c>
    </row>
    <row r="59" spans="1:5" ht="15.6" x14ac:dyDescent="0.3">
      <c r="A59" s="24" t="s">
        <v>74</v>
      </c>
      <c r="B59" s="55" t="s">
        <v>72</v>
      </c>
      <c r="C59" s="76">
        <f>E59/12</f>
        <v>2250</v>
      </c>
      <c r="D59" s="54">
        <f>C59/C7</f>
        <v>0.19296045940026174</v>
      </c>
      <c r="E59" s="55">
        <v>27000</v>
      </c>
    </row>
    <row r="60" spans="1:5" ht="15.6" x14ac:dyDescent="0.3">
      <c r="A60" s="24" t="s">
        <v>75</v>
      </c>
      <c r="B60" s="55"/>
      <c r="C60" s="76"/>
      <c r="D60" s="54"/>
      <c r="E60" s="55"/>
    </row>
    <row r="61" spans="1:5" ht="15.6" x14ac:dyDescent="0.3">
      <c r="A61" s="24" t="s">
        <v>96</v>
      </c>
      <c r="B61" s="55"/>
      <c r="C61" s="76"/>
      <c r="D61" s="54"/>
      <c r="E61" s="55"/>
    </row>
    <row r="62" spans="1:5" ht="15.6" x14ac:dyDescent="0.3">
      <c r="A62" s="4"/>
      <c r="B62" s="55"/>
      <c r="C62" s="76"/>
      <c r="D62" s="54"/>
      <c r="E62" s="55"/>
    </row>
    <row r="63" spans="1:5" ht="15.6" x14ac:dyDescent="0.3">
      <c r="A63" s="4"/>
      <c r="B63" s="42" t="s">
        <v>70</v>
      </c>
      <c r="C63" s="42"/>
      <c r="D63" s="43">
        <f>SUM(D59:D62)</f>
        <v>0.19296045940026174</v>
      </c>
      <c r="E63" s="42"/>
    </row>
    <row r="64" spans="1:5" x14ac:dyDescent="0.3">
      <c r="A64" s="119" t="s">
        <v>166</v>
      </c>
      <c r="B64" s="120"/>
      <c r="C64" s="120"/>
      <c r="D64" s="120"/>
      <c r="E64" s="121"/>
    </row>
    <row r="65" spans="1:5" x14ac:dyDescent="0.3">
      <c r="A65" s="122"/>
      <c r="B65" s="123"/>
      <c r="C65" s="123"/>
      <c r="D65" s="123"/>
      <c r="E65" s="124"/>
    </row>
    <row r="66" spans="1:5" x14ac:dyDescent="0.3">
      <c r="A66" s="122"/>
      <c r="B66" s="123"/>
      <c r="C66" s="123"/>
      <c r="D66" s="123"/>
      <c r="E66" s="124"/>
    </row>
    <row r="67" spans="1:5" x14ac:dyDescent="0.3">
      <c r="A67" s="125"/>
      <c r="B67" s="126"/>
      <c r="C67" s="126"/>
      <c r="D67" s="126"/>
      <c r="E67" s="127"/>
    </row>
    <row r="68" spans="1:5" ht="45.75" customHeight="1" x14ac:dyDescent="0.3">
      <c r="A68" s="114" t="s">
        <v>167</v>
      </c>
      <c r="B68" s="115"/>
      <c r="C68" s="3"/>
      <c r="D68" s="3"/>
      <c r="E68" s="3"/>
    </row>
  </sheetData>
  <mergeCells count="18">
    <mergeCell ref="A10:B10"/>
    <mergeCell ref="C10:E10"/>
    <mergeCell ref="A64:E67"/>
    <mergeCell ref="A68:B68"/>
    <mergeCell ref="A7:B7"/>
    <mergeCell ref="C7:E7"/>
    <mergeCell ref="A13:B13"/>
    <mergeCell ref="C13:E13"/>
    <mergeCell ref="A14:E14"/>
    <mergeCell ref="A8:B8"/>
    <mergeCell ref="C8:E8"/>
    <mergeCell ref="A9:B9"/>
    <mergeCell ref="C9:E9"/>
    <mergeCell ref="A2:E4"/>
    <mergeCell ref="A5:B5"/>
    <mergeCell ref="C5:E5"/>
    <mergeCell ref="A6:B6"/>
    <mergeCell ref="C6:E6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0"/>
  <sheetViews>
    <sheetView workbookViewId="0">
      <selection activeCell="E54" sqref="E54"/>
    </sheetView>
  </sheetViews>
  <sheetFormatPr defaultRowHeight="13.8" x14ac:dyDescent="0.3"/>
  <cols>
    <col min="1" max="1" width="8.5546875" style="29" customWidth="1"/>
    <col min="2" max="2" width="51.88671875" customWidth="1"/>
    <col min="3" max="3" width="11.6640625" customWidth="1"/>
    <col min="4" max="4" width="11.88671875" customWidth="1"/>
    <col min="5" max="5" width="12.33203125" customWidth="1"/>
  </cols>
  <sheetData>
    <row r="2" spans="1:5" x14ac:dyDescent="0.3">
      <c r="A2" s="102" t="s">
        <v>104</v>
      </c>
      <c r="B2" s="102"/>
      <c r="C2" s="102"/>
      <c r="D2" s="102"/>
      <c r="E2" s="102"/>
    </row>
    <row r="3" spans="1:5" x14ac:dyDescent="0.3">
      <c r="A3" s="102"/>
      <c r="B3" s="102"/>
      <c r="C3" s="102"/>
      <c r="D3" s="102"/>
      <c r="E3" s="102"/>
    </row>
    <row r="4" spans="1:5" x14ac:dyDescent="0.3">
      <c r="A4" s="103"/>
      <c r="B4" s="103"/>
      <c r="C4" s="103"/>
      <c r="D4" s="103"/>
      <c r="E4" s="103"/>
    </row>
    <row r="5" spans="1:5" ht="15.6" x14ac:dyDescent="0.3">
      <c r="A5" s="97" t="s">
        <v>0</v>
      </c>
      <c r="B5" s="98"/>
      <c r="C5" s="97" t="s">
        <v>1</v>
      </c>
      <c r="D5" s="104"/>
      <c r="E5" s="98"/>
    </row>
    <row r="6" spans="1:5" ht="15.6" x14ac:dyDescent="0.3">
      <c r="A6" s="97" t="s">
        <v>2</v>
      </c>
      <c r="B6" s="98"/>
      <c r="C6" s="99">
        <v>2</v>
      </c>
      <c r="D6" s="100"/>
      <c r="E6" s="101"/>
    </row>
    <row r="7" spans="1:5" ht="15.6" x14ac:dyDescent="0.3">
      <c r="A7" s="97" t="s">
        <v>3</v>
      </c>
      <c r="B7" s="98"/>
      <c r="C7" s="99">
        <v>3614.3</v>
      </c>
      <c r="D7" s="100"/>
      <c r="E7" s="101"/>
    </row>
    <row r="8" spans="1:5" ht="15.6" x14ac:dyDescent="0.3">
      <c r="A8" s="97" t="s">
        <v>4</v>
      </c>
      <c r="B8" s="98"/>
      <c r="C8" s="99">
        <v>505.5</v>
      </c>
      <c r="D8" s="100"/>
      <c r="E8" s="101"/>
    </row>
    <row r="9" spans="1:5" ht="15.6" x14ac:dyDescent="0.3">
      <c r="A9" s="97" t="s">
        <v>5</v>
      </c>
      <c r="B9" s="98"/>
      <c r="C9" s="99">
        <v>9.5</v>
      </c>
      <c r="D9" s="100"/>
      <c r="E9" s="101"/>
    </row>
    <row r="10" spans="1:5" ht="15.6" x14ac:dyDescent="0.3">
      <c r="A10" s="97" t="s">
        <v>6</v>
      </c>
      <c r="B10" s="98"/>
      <c r="C10" s="99">
        <v>14000</v>
      </c>
      <c r="D10" s="100"/>
      <c r="E10" s="101"/>
    </row>
    <row r="11" spans="1:5" ht="15.6" x14ac:dyDescent="0.3">
      <c r="A11" s="50"/>
      <c r="B11" s="51" t="s">
        <v>56</v>
      </c>
      <c r="C11" s="50"/>
      <c r="D11" s="52">
        <f>C7*C9</f>
        <v>34335.85</v>
      </c>
      <c r="E11" s="51"/>
    </row>
    <row r="12" spans="1:5" ht="15.6" x14ac:dyDescent="0.3">
      <c r="A12" s="50"/>
      <c r="B12" s="51" t="s">
        <v>64</v>
      </c>
      <c r="C12" s="50"/>
      <c r="D12" s="70">
        <f>D11+(C10/12)</f>
        <v>35502.516666666663</v>
      </c>
      <c r="E12" s="51"/>
    </row>
    <row r="13" spans="1:5" ht="15.6" x14ac:dyDescent="0.3">
      <c r="A13" s="97" t="s">
        <v>7</v>
      </c>
      <c r="B13" s="98"/>
      <c r="C13" s="97">
        <f>(C7*C9*12)+C10</f>
        <v>426030.19999999995</v>
      </c>
      <c r="D13" s="104"/>
      <c r="E13" s="98"/>
    </row>
    <row r="14" spans="1:5" ht="15.6" x14ac:dyDescent="0.3">
      <c r="A14" s="97" t="s">
        <v>8</v>
      </c>
      <c r="B14" s="104"/>
      <c r="C14" s="104"/>
      <c r="D14" s="104"/>
      <c r="E14" s="98"/>
    </row>
    <row r="15" spans="1:5" ht="46.8" x14ac:dyDescent="0.3">
      <c r="A15" s="4"/>
      <c r="B15" s="10" t="s">
        <v>12</v>
      </c>
      <c r="C15" s="10" t="s">
        <v>13</v>
      </c>
      <c r="D15" s="11" t="s">
        <v>14</v>
      </c>
      <c r="E15" s="10" t="s">
        <v>15</v>
      </c>
    </row>
    <row r="16" spans="1:5" ht="18" x14ac:dyDescent="0.35">
      <c r="A16" s="23">
        <v>1</v>
      </c>
      <c r="B16" s="14" t="s">
        <v>9</v>
      </c>
      <c r="C16" s="21">
        <f>C17+C18</f>
        <v>7791.4605333333338</v>
      </c>
      <c r="D16" s="21">
        <f>D17+D18</f>
        <v>2.2539594665633733</v>
      </c>
      <c r="E16" s="21">
        <f>E17+E18</f>
        <v>93497.526400000002</v>
      </c>
    </row>
    <row r="17" spans="1:6" ht="15.6" x14ac:dyDescent="0.3">
      <c r="A17" s="24" t="s">
        <v>10</v>
      </c>
      <c r="B17" s="61" t="s">
        <v>11</v>
      </c>
      <c r="C17" s="54">
        <f>(D11*13.8%)+(C10*13.8%/12)</f>
        <v>4899.3473000000004</v>
      </c>
      <c r="D17" s="54">
        <f>C17/C7</f>
        <v>1.3555452784771602</v>
      </c>
      <c r="E17" s="54">
        <f>C17*12</f>
        <v>58792.167600000001</v>
      </c>
    </row>
    <row r="18" spans="1:6" ht="15.6" x14ac:dyDescent="0.3">
      <c r="A18" s="4" t="s">
        <v>16</v>
      </c>
      <c r="B18" s="61" t="s">
        <v>17</v>
      </c>
      <c r="C18" s="62">
        <f>SUM(C19:C21)</f>
        <v>2892.1132333333335</v>
      </c>
      <c r="D18" s="62">
        <f>SUM(D19:D22)</f>
        <v>0.89841418808621309</v>
      </c>
      <c r="E18" s="62">
        <f t="shared" ref="E18" si="0">SUM(E19:E21)</f>
        <v>34705.358800000002</v>
      </c>
    </row>
    <row r="19" spans="1:6" ht="15.6" x14ac:dyDescent="0.3">
      <c r="A19" s="24" t="s">
        <v>18</v>
      </c>
      <c r="B19" s="61" t="s">
        <v>19</v>
      </c>
      <c r="C19" s="54">
        <f>E19/12</f>
        <v>748.83333333333337</v>
      </c>
      <c r="D19" s="54">
        <f>C19/C7</f>
        <v>0.20718626935598411</v>
      </c>
      <c r="E19" s="54">
        <v>8986</v>
      </c>
    </row>
    <row r="20" spans="1:6" ht="42" x14ac:dyDescent="0.3">
      <c r="A20" s="24" t="s">
        <v>20</v>
      </c>
      <c r="B20" s="13" t="s">
        <v>21</v>
      </c>
      <c r="C20" s="7">
        <f>D20*C7</f>
        <v>975.8610000000001</v>
      </c>
      <c r="D20" s="2">
        <v>0.27</v>
      </c>
      <c r="E20" s="7">
        <f>C20*12</f>
        <v>11710.332000000002</v>
      </c>
    </row>
    <row r="21" spans="1:6" ht="15.6" x14ac:dyDescent="0.3">
      <c r="A21" s="24" t="s">
        <v>22</v>
      </c>
      <c r="B21" s="8" t="s">
        <v>23</v>
      </c>
      <c r="C21" s="7">
        <f>D11*3.4%</f>
        <v>1167.4189000000001</v>
      </c>
      <c r="D21" s="7">
        <f>C21/C7</f>
        <v>0.32300000000000001</v>
      </c>
      <c r="E21" s="7">
        <f>C21*12</f>
        <v>14009.026800000001</v>
      </c>
    </row>
    <row r="22" spans="1:6" ht="15.6" x14ac:dyDescent="0.3">
      <c r="A22" s="24" t="s">
        <v>66</v>
      </c>
      <c r="B22" s="8" t="s">
        <v>67</v>
      </c>
      <c r="C22" s="7">
        <f>E22/12</f>
        <v>355.02516666666662</v>
      </c>
      <c r="D22" s="7">
        <f>C22/C7</f>
        <v>9.8227918730228986E-2</v>
      </c>
      <c r="E22" s="7">
        <f>C13*1%</f>
        <v>4260.3019999999997</v>
      </c>
    </row>
    <row r="23" spans="1:6" ht="18" x14ac:dyDescent="0.35">
      <c r="A23" s="25" t="s">
        <v>24</v>
      </c>
      <c r="B23" s="14" t="s">
        <v>25</v>
      </c>
      <c r="C23" s="21">
        <f>C24+C28+C34</f>
        <v>22724.815333333336</v>
      </c>
      <c r="D23" s="21">
        <f>D24+D28+D34</f>
        <v>6.2874734618967238</v>
      </c>
      <c r="E23" s="21">
        <f>E24+E28+E34</f>
        <v>272697.78399999999</v>
      </c>
    </row>
    <row r="24" spans="1:6" ht="17.399999999999999" x14ac:dyDescent="0.3">
      <c r="A24" s="26" t="s">
        <v>26</v>
      </c>
      <c r="B24" s="15" t="s">
        <v>27</v>
      </c>
      <c r="C24" s="22">
        <f>SUM(C25:C27)</f>
        <v>845.88233333333335</v>
      </c>
      <c r="D24" s="22">
        <f>SUM(D25:D27)</f>
        <v>0.23403766520026928</v>
      </c>
      <c r="E24" s="22">
        <f>SUM(E25:E27)</f>
        <v>10150.588</v>
      </c>
    </row>
    <row r="25" spans="1:6" ht="15.6" x14ac:dyDescent="0.3">
      <c r="A25" s="24" t="s">
        <v>28</v>
      </c>
      <c r="B25" s="13" t="s">
        <v>61</v>
      </c>
      <c r="C25" s="7">
        <f>D25*C7</f>
        <v>650.57399999999996</v>
      </c>
      <c r="D25" s="2">
        <v>0.18</v>
      </c>
      <c r="E25" s="7">
        <f>C25*12</f>
        <v>7806.887999999999</v>
      </c>
    </row>
    <row r="26" spans="1:6" ht="15.6" x14ac:dyDescent="0.3">
      <c r="A26" s="57" t="s">
        <v>29</v>
      </c>
      <c r="B26" s="2" t="s">
        <v>30</v>
      </c>
      <c r="C26" s="7">
        <f>D26*C7</f>
        <v>180.71500000000003</v>
      </c>
      <c r="D26" s="2">
        <v>0.05</v>
      </c>
      <c r="E26" s="7">
        <f>C26*12</f>
        <v>2168.5800000000004</v>
      </c>
    </row>
    <row r="27" spans="1:6" ht="15.6" x14ac:dyDescent="0.3">
      <c r="A27" s="57" t="s">
        <v>31</v>
      </c>
      <c r="B27" s="55" t="s">
        <v>57</v>
      </c>
      <c r="C27" s="54">
        <f>E27/12</f>
        <v>14.593333333333334</v>
      </c>
      <c r="D27" s="56">
        <f>C27/C7</f>
        <v>4.0376652002693005E-3</v>
      </c>
      <c r="E27" s="55">
        <f>87.56*2</f>
        <v>175.12</v>
      </c>
      <c r="F27" s="67"/>
    </row>
    <row r="28" spans="1:6" ht="17.399999999999999" x14ac:dyDescent="0.3">
      <c r="A28" s="65" t="s">
        <v>32</v>
      </c>
      <c r="B28" s="17" t="s">
        <v>33</v>
      </c>
      <c r="C28" s="22">
        <f>SUM(C29:C33)</f>
        <v>11530.322000000002</v>
      </c>
      <c r="D28" s="22">
        <f>SUM(D29:D33)</f>
        <v>3.1901950585175549</v>
      </c>
      <c r="E28" s="22">
        <f>SUM(E29:E33)</f>
        <v>138363.864</v>
      </c>
    </row>
    <row r="29" spans="1:6" ht="15.6" x14ac:dyDescent="0.3">
      <c r="A29" s="57" t="s">
        <v>34</v>
      </c>
      <c r="B29" s="13" t="s">
        <v>62</v>
      </c>
      <c r="C29" s="7">
        <f>D29*C7</f>
        <v>6325.0250000000005</v>
      </c>
      <c r="D29" s="2">
        <v>1.75</v>
      </c>
      <c r="E29" s="7">
        <f>C29*12</f>
        <v>75900.3</v>
      </c>
    </row>
    <row r="30" spans="1:6" ht="15.6" x14ac:dyDescent="0.3">
      <c r="A30" s="57" t="s">
        <v>35</v>
      </c>
      <c r="B30" s="55" t="s">
        <v>36</v>
      </c>
      <c r="C30" s="55">
        <v>2350</v>
      </c>
      <c r="D30" s="54">
        <f>C30/C7</f>
        <v>0.65019505851755521</v>
      </c>
      <c r="E30" s="2">
        <f>C30*12</f>
        <v>28200</v>
      </c>
    </row>
    <row r="31" spans="1:6" ht="15.6" x14ac:dyDescent="0.3">
      <c r="A31" s="57" t="s">
        <v>37</v>
      </c>
      <c r="B31" s="2" t="s">
        <v>30</v>
      </c>
      <c r="C31" s="7">
        <f>D31*C7</f>
        <v>325.28699999999998</v>
      </c>
      <c r="D31" s="2">
        <v>0.09</v>
      </c>
      <c r="E31" s="7">
        <f>C31*12</f>
        <v>3903.4439999999995</v>
      </c>
    </row>
    <row r="32" spans="1:6" ht="15.6" x14ac:dyDescent="0.3">
      <c r="A32" s="57" t="s">
        <v>38</v>
      </c>
      <c r="B32" s="2" t="s">
        <v>40</v>
      </c>
      <c r="C32" s="7">
        <f>D32*C7</f>
        <v>108.429</v>
      </c>
      <c r="D32" s="2">
        <v>0.03</v>
      </c>
      <c r="E32" s="7">
        <f>C32*12</f>
        <v>1301.1480000000001</v>
      </c>
    </row>
    <row r="33" spans="1:5" ht="15.6" x14ac:dyDescent="0.3">
      <c r="A33" s="57" t="s">
        <v>39</v>
      </c>
      <c r="B33" s="2" t="s">
        <v>41</v>
      </c>
      <c r="C33" s="7">
        <f>D33*C7</f>
        <v>2421.5810000000001</v>
      </c>
      <c r="D33" s="2">
        <v>0.67</v>
      </c>
      <c r="E33" s="7">
        <f>C33*12</f>
        <v>29058.972000000002</v>
      </c>
    </row>
    <row r="34" spans="1:5" ht="31.2" x14ac:dyDescent="0.3">
      <c r="A34" s="65" t="s">
        <v>42</v>
      </c>
      <c r="B34" s="18" t="s">
        <v>43</v>
      </c>
      <c r="C34" s="22">
        <f>SUM(C35:C40)</f>
        <v>10348.611000000001</v>
      </c>
      <c r="D34" s="22">
        <f>SUM(D35:D40)</f>
        <v>2.8632407381789</v>
      </c>
      <c r="E34" s="22">
        <f>SUM(E35:E40)</f>
        <v>124183.33200000001</v>
      </c>
    </row>
    <row r="35" spans="1:5" ht="27" x14ac:dyDescent="0.3">
      <c r="A35" s="57" t="s">
        <v>44</v>
      </c>
      <c r="B35" s="12" t="s">
        <v>73</v>
      </c>
      <c r="C35" s="7">
        <f>D35*C7</f>
        <v>9144.1790000000001</v>
      </c>
      <c r="D35" s="2">
        <v>2.5299999999999998</v>
      </c>
      <c r="E35" s="7">
        <f>C35*12</f>
        <v>109730.148</v>
      </c>
    </row>
    <row r="36" spans="1:5" ht="15.6" x14ac:dyDescent="0.3">
      <c r="A36" s="57" t="s">
        <v>46</v>
      </c>
      <c r="B36" s="58" t="s">
        <v>45</v>
      </c>
      <c r="C36" s="54">
        <f>D36*C7</f>
        <v>325.28699999999998</v>
      </c>
      <c r="D36" s="55">
        <v>0.09</v>
      </c>
      <c r="E36" s="7">
        <f t="shared" ref="E36:E40" si="1">C36*12</f>
        <v>3903.4439999999995</v>
      </c>
    </row>
    <row r="37" spans="1:5" ht="15.6" x14ac:dyDescent="0.3">
      <c r="A37" s="57" t="s">
        <v>47</v>
      </c>
      <c r="B37" s="55" t="s">
        <v>48</v>
      </c>
      <c r="C37" s="54">
        <f>D37*C7</f>
        <v>72.286000000000001</v>
      </c>
      <c r="D37" s="55">
        <v>0.02</v>
      </c>
      <c r="E37" s="7">
        <f t="shared" si="1"/>
        <v>867.43200000000002</v>
      </c>
    </row>
    <row r="38" spans="1:5" ht="15.6" x14ac:dyDescent="0.3">
      <c r="A38" s="57" t="s">
        <v>49</v>
      </c>
      <c r="B38" s="55" t="s">
        <v>50</v>
      </c>
      <c r="C38" s="54">
        <f>D38*C7</f>
        <v>108.429</v>
      </c>
      <c r="D38" s="55">
        <v>0.03</v>
      </c>
      <c r="E38" s="7">
        <f t="shared" si="1"/>
        <v>1301.1480000000001</v>
      </c>
    </row>
    <row r="39" spans="1:5" ht="15.6" x14ac:dyDescent="0.3">
      <c r="A39" s="57" t="s">
        <v>51</v>
      </c>
      <c r="B39" s="55" t="s">
        <v>52</v>
      </c>
      <c r="C39" s="59">
        <f>E39/12</f>
        <v>337</v>
      </c>
      <c r="D39" s="59">
        <f>C39/C7</f>
        <v>9.3240738178900467E-2</v>
      </c>
      <c r="E39" s="37">
        <f>C8*4*2</f>
        <v>4044</v>
      </c>
    </row>
    <row r="40" spans="1:5" ht="15.6" x14ac:dyDescent="0.3">
      <c r="A40" s="57" t="s">
        <v>53</v>
      </c>
      <c r="B40" s="55" t="s">
        <v>30</v>
      </c>
      <c r="C40" s="54">
        <f>D40*C7</f>
        <v>361.43000000000006</v>
      </c>
      <c r="D40" s="55">
        <v>0.1</v>
      </c>
      <c r="E40" s="7">
        <f t="shared" si="1"/>
        <v>4337.1600000000008</v>
      </c>
    </row>
    <row r="41" spans="1:5" ht="17.399999999999999" x14ac:dyDescent="0.3">
      <c r="A41" s="26" t="s">
        <v>68</v>
      </c>
      <c r="B41" s="16" t="s">
        <v>59</v>
      </c>
      <c r="C41" s="22">
        <f>D41*C7</f>
        <v>3464.5489666666726</v>
      </c>
      <c r="D41" s="22">
        <f>C9-D16-D23</f>
        <v>0.95856707153990328</v>
      </c>
      <c r="E41" s="22">
        <f>C41*12</f>
        <v>41574.587600000072</v>
      </c>
    </row>
    <row r="42" spans="1:5" ht="15.6" x14ac:dyDescent="0.3">
      <c r="A42" s="24" t="s">
        <v>77</v>
      </c>
      <c r="B42" s="2" t="s">
        <v>78</v>
      </c>
      <c r="C42" s="7">
        <f>E42/12</f>
        <v>3464.5491666666662</v>
      </c>
      <c r="D42" s="7">
        <f>C42/C7</f>
        <v>0.95856712687565115</v>
      </c>
      <c r="E42" s="55">
        <v>41574.589999999997</v>
      </c>
    </row>
    <row r="43" spans="1:5" ht="15.6" x14ac:dyDescent="0.3">
      <c r="A43" s="31"/>
      <c r="B43" s="32" t="s">
        <v>60</v>
      </c>
      <c r="C43" s="30">
        <f>D43*C7</f>
        <v>34335.85</v>
      </c>
      <c r="D43" s="30">
        <f>D41+D23+D16</f>
        <v>9.5</v>
      </c>
      <c r="E43" s="30">
        <f>C43*12</f>
        <v>412030.19999999995</v>
      </c>
    </row>
    <row r="44" spans="1:5" ht="15.6" x14ac:dyDescent="0.3">
      <c r="A44" s="31" t="s">
        <v>69</v>
      </c>
      <c r="B44" s="16" t="s">
        <v>65</v>
      </c>
      <c r="C44" s="16">
        <f>D44*C7</f>
        <v>1166.6666666666665</v>
      </c>
      <c r="D44" s="22">
        <f>C10/C7/12</f>
        <v>0.32279187302289974</v>
      </c>
      <c r="E44" s="16">
        <f>C44*12</f>
        <v>13999.999999999998</v>
      </c>
    </row>
    <row r="45" spans="1:5" ht="15.6" x14ac:dyDescent="0.3">
      <c r="A45" s="24" t="s">
        <v>74</v>
      </c>
      <c r="B45" s="55" t="s">
        <v>72</v>
      </c>
      <c r="C45" s="76">
        <f>E45/12</f>
        <v>1166.6666666666667</v>
      </c>
      <c r="D45" s="54">
        <f>C45/C7</f>
        <v>0.3227918730228998</v>
      </c>
      <c r="E45" s="55">
        <v>14000</v>
      </c>
    </row>
    <row r="46" spans="1:5" x14ac:dyDescent="0.3">
      <c r="A46" s="119" t="s">
        <v>166</v>
      </c>
      <c r="B46" s="120"/>
      <c r="C46" s="120"/>
      <c r="D46" s="120"/>
      <c r="E46" s="121"/>
    </row>
    <row r="47" spans="1:5" x14ac:dyDescent="0.3">
      <c r="A47" s="122"/>
      <c r="B47" s="123"/>
      <c r="C47" s="123"/>
      <c r="D47" s="123"/>
      <c r="E47" s="124"/>
    </row>
    <row r="48" spans="1:5" x14ac:dyDescent="0.3">
      <c r="A48" s="122"/>
      <c r="B48" s="123"/>
      <c r="C48" s="123"/>
      <c r="D48" s="123"/>
      <c r="E48" s="124"/>
    </row>
    <row r="49" spans="1:5" x14ac:dyDescent="0.3">
      <c r="A49" s="125"/>
      <c r="B49" s="126"/>
      <c r="C49" s="126"/>
      <c r="D49" s="126"/>
      <c r="E49" s="127"/>
    </row>
    <row r="50" spans="1:5" ht="39" customHeight="1" x14ac:dyDescent="0.3">
      <c r="A50" s="114" t="s">
        <v>167</v>
      </c>
      <c r="B50" s="115"/>
      <c r="C50" s="3"/>
      <c r="D50" s="3"/>
      <c r="E50" s="3"/>
    </row>
  </sheetData>
  <mergeCells count="18">
    <mergeCell ref="A10:B10"/>
    <mergeCell ref="C10:E10"/>
    <mergeCell ref="A46:E49"/>
    <mergeCell ref="A50:B50"/>
    <mergeCell ref="A7:B7"/>
    <mergeCell ref="C7:E7"/>
    <mergeCell ref="A13:B13"/>
    <mergeCell ref="C13:E13"/>
    <mergeCell ref="A14:E14"/>
    <mergeCell ref="A8:B8"/>
    <mergeCell ref="C8:E8"/>
    <mergeCell ref="A9:B9"/>
    <mergeCell ref="C9:E9"/>
    <mergeCell ref="A2:E4"/>
    <mergeCell ref="A5:B5"/>
    <mergeCell ref="C5:E5"/>
    <mergeCell ref="A6:B6"/>
    <mergeCell ref="C6:E6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7"/>
  <sheetViews>
    <sheetView topLeftCell="A44" workbookViewId="0">
      <selection activeCell="A60" sqref="A60:XFD61"/>
    </sheetView>
  </sheetViews>
  <sheetFormatPr defaultRowHeight="13.8" x14ac:dyDescent="0.3"/>
  <cols>
    <col min="1" max="1" width="8.5546875" style="29" customWidth="1"/>
    <col min="2" max="2" width="51.88671875" customWidth="1"/>
    <col min="3" max="3" width="11.6640625" customWidth="1"/>
    <col min="4" max="4" width="11.88671875" customWidth="1"/>
    <col min="5" max="5" width="12.33203125" customWidth="1"/>
  </cols>
  <sheetData>
    <row r="2" spans="1:5" x14ac:dyDescent="0.3">
      <c r="A2" s="102" t="s">
        <v>105</v>
      </c>
      <c r="B2" s="102"/>
      <c r="C2" s="102"/>
      <c r="D2" s="102"/>
      <c r="E2" s="102"/>
    </row>
    <row r="3" spans="1:5" x14ac:dyDescent="0.3">
      <c r="A3" s="102"/>
      <c r="B3" s="102"/>
      <c r="C3" s="102"/>
      <c r="D3" s="102"/>
      <c r="E3" s="102"/>
    </row>
    <row r="4" spans="1:5" x14ac:dyDescent="0.3">
      <c r="A4" s="103"/>
      <c r="B4" s="103"/>
      <c r="C4" s="103"/>
      <c r="D4" s="103"/>
      <c r="E4" s="103"/>
    </row>
    <row r="5" spans="1:5" ht="15.6" x14ac:dyDescent="0.3">
      <c r="A5" s="97" t="s">
        <v>0</v>
      </c>
      <c r="B5" s="98"/>
      <c r="C5" s="97" t="s">
        <v>1</v>
      </c>
      <c r="D5" s="104"/>
      <c r="E5" s="98"/>
    </row>
    <row r="6" spans="1:5" ht="15.6" x14ac:dyDescent="0.3">
      <c r="A6" s="97" t="s">
        <v>2</v>
      </c>
      <c r="B6" s="98"/>
      <c r="C6" s="99">
        <v>1</v>
      </c>
      <c r="D6" s="100"/>
      <c r="E6" s="101"/>
    </row>
    <row r="7" spans="1:5" ht="15.6" x14ac:dyDescent="0.3">
      <c r="A7" s="97" t="s">
        <v>3</v>
      </c>
      <c r="B7" s="98"/>
      <c r="C7" s="99">
        <v>2759.37</v>
      </c>
      <c r="D7" s="100"/>
      <c r="E7" s="101"/>
    </row>
    <row r="8" spans="1:5" ht="15.6" x14ac:dyDescent="0.3">
      <c r="A8" s="97" t="s">
        <v>4</v>
      </c>
      <c r="B8" s="98"/>
      <c r="C8" s="99">
        <v>407</v>
      </c>
      <c r="D8" s="100"/>
      <c r="E8" s="101"/>
    </row>
    <row r="9" spans="1:5" ht="15.6" x14ac:dyDescent="0.3">
      <c r="A9" s="97" t="s">
        <v>5</v>
      </c>
      <c r="B9" s="98"/>
      <c r="C9" s="99">
        <v>10.48</v>
      </c>
      <c r="D9" s="100"/>
      <c r="E9" s="101"/>
    </row>
    <row r="10" spans="1:5" ht="15.6" x14ac:dyDescent="0.3">
      <c r="A10" s="97" t="s">
        <v>6</v>
      </c>
      <c r="B10" s="98"/>
      <c r="C10" s="99">
        <v>9000</v>
      </c>
      <c r="D10" s="100"/>
      <c r="E10" s="101"/>
    </row>
    <row r="11" spans="1:5" ht="15.6" x14ac:dyDescent="0.3">
      <c r="A11" s="50"/>
      <c r="B11" s="51" t="s">
        <v>56</v>
      </c>
      <c r="C11" s="50"/>
      <c r="D11" s="70">
        <f>C7*C9</f>
        <v>28918.1976</v>
      </c>
      <c r="E11" s="51"/>
    </row>
    <row r="12" spans="1:5" ht="15.6" x14ac:dyDescent="0.3">
      <c r="A12" s="50"/>
      <c r="B12" s="51" t="s">
        <v>64</v>
      </c>
      <c r="C12" s="50"/>
      <c r="D12" s="70">
        <f>D11+(C10/12)</f>
        <v>29668.1976</v>
      </c>
      <c r="E12" s="51"/>
    </row>
    <row r="13" spans="1:5" ht="15.6" x14ac:dyDescent="0.3">
      <c r="A13" s="97" t="s">
        <v>7</v>
      </c>
      <c r="B13" s="98"/>
      <c r="C13" s="128">
        <f>(C7*C9*12)+C10</f>
        <v>356018.37119999999</v>
      </c>
      <c r="D13" s="129"/>
      <c r="E13" s="130"/>
    </row>
    <row r="14" spans="1:5" ht="15.6" x14ac:dyDescent="0.3">
      <c r="A14" s="97" t="s">
        <v>8</v>
      </c>
      <c r="B14" s="104"/>
      <c r="C14" s="104"/>
      <c r="D14" s="104"/>
      <c r="E14" s="98"/>
    </row>
    <row r="15" spans="1:5" ht="46.8" x14ac:dyDescent="0.3">
      <c r="A15" s="4"/>
      <c r="B15" s="10" t="s">
        <v>12</v>
      </c>
      <c r="C15" s="10" t="s">
        <v>13</v>
      </c>
      <c r="D15" s="11" t="s">
        <v>14</v>
      </c>
      <c r="E15" s="10" t="s">
        <v>15</v>
      </c>
    </row>
    <row r="16" spans="1:5" ht="18" x14ac:dyDescent="0.35">
      <c r="A16" s="23">
        <v>1</v>
      </c>
      <c r="B16" s="14" t="s">
        <v>9</v>
      </c>
      <c r="C16" s="21">
        <f>C17+C18</f>
        <v>7934.6265538666667</v>
      </c>
      <c r="D16" s="21">
        <f>D17+D18</f>
        <v>2.9830390740881674</v>
      </c>
      <c r="E16" s="21">
        <f>E17+E18</f>
        <v>95215.518646400014</v>
      </c>
    </row>
    <row r="17" spans="1:5" ht="15.6" x14ac:dyDescent="0.3">
      <c r="A17" s="24" t="s">
        <v>10</v>
      </c>
      <c r="B17" s="8" t="s">
        <v>11</v>
      </c>
      <c r="C17" s="54">
        <f>(D11*13.8%)+(C10*13.8%/12)</f>
        <v>4094.2112688000002</v>
      </c>
      <c r="D17" s="7">
        <f>C17/C7</f>
        <v>1.4837485617369184</v>
      </c>
      <c r="E17" s="7">
        <f>C17*12</f>
        <v>49130.535225600004</v>
      </c>
    </row>
    <row r="18" spans="1:5" ht="15.6" x14ac:dyDescent="0.3">
      <c r="A18" s="4" t="s">
        <v>16</v>
      </c>
      <c r="B18" s="8" t="s">
        <v>17</v>
      </c>
      <c r="C18" s="20">
        <f>SUM(C19:C21)</f>
        <v>3840.4152850666665</v>
      </c>
      <c r="D18" s="20">
        <f>SUM(D19:D22)</f>
        <v>1.499290512351249</v>
      </c>
      <c r="E18" s="20">
        <f t="shared" ref="E18" si="0">SUM(E19:E21)</f>
        <v>46084.983420800003</v>
      </c>
    </row>
    <row r="19" spans="1:5" ht="15.6" x14ac:dyDescent="0.3">
      <c r="A19" s="24" t="s">
        <v>18</v>
      </c>
      <c r="B19" s="8" t="s">
        <v>19</v>
      </c>
      <c r="C19" s="7">
        <f>E19/12</f>
        <v>2112.1666666666665</v>
      </c>
      <c r="D19" s="7">
        <f>C19/C7</f>
        <v>0.76545250063118264</v>
      </c>
      <c r="E19" s="35">
        <v>25346</v>
      </c>
    </row>
    <row r="20" spans="1:5" ht="42" x14ac:dyDescent="0.3">
      <c r="A20" s="24" t="s">
        <v>20</v>
      </c>
      <c r="B20" s="13" t="s">
        <v>21</v>
      </c>
      <c r="C20" s="7">
        <f>D20*C7</f>
        <v>745.0299</v>
      </c>
      <c r="D20" s="2">
        <v>0.27</v>
      </c>
      <c r="E20" s="7">
        <f>C20*12</f>
        <v>8940.3588</v>
      </c>
    </row>
    <row r="21" spans="1:5" ht="15.6" x14ac:dyDescent="0.3">
      <c r="A21" s="24" t="s">
        <v>22</v>
      </c>
      <c r="B21" s="8" t="s">
        <v>23</v>
      </c>
      <c r="C21" s="7">
        <f>D11*3.4%</f>
        <v>983.21871840000006</v>
      </c>
      <c r="D21" s="7">
        <f>C21/C7</f>
        <v>0.35632000000000003</v>
      </c>
      <c r="E21" s="7">
        <f>C21*12</f>
        <v>11798.624620800001</v>
      </c>
    </row>
    <row r="22" spans="1:5" ht="15.6" x14ac:dyDescent="0.3">
      <c r="A22" s="24" t="s">
        <v>66</v>
      </c>
      <c r="B22" s="8" t="s">
        <v>67</v>
      </c>
      <c r="C22" s="7">
        <f>E22/12</f>
        <v>296.68197600000002</v>
      </c>
      <c r="D22" s="7">
        <f>C22/C7</f>
        <v>0.10751801172006654</v>
      </c>
      <c r="E22" s="7">
        <f>C13*1%</f>
        <v>3560.183712</v>
      </c>
    </row>
    <row r="23" spans="1:5" ht="18" x14ac:dyDescent="0.35">
      <c r="A23" s="25" t="s">
        <v>24</v>
      </c>
      <c r="B23" s="14" t="s">
        <v>25</v>
      </c>
      <c r="C23" s="21">
        <f>C24+C28+C34</f>
        <v>17915.539799999999</v>
      </c>
      <c r="D23" s="21">
        <f>D24+D28+D34</f>
        <v>6.492619619695799</v>
      </c>
      <c r="E23" s="21">
        <f>E24+E28+E34</f>
        <v>214986.47760000001</v>
      </c>
    </row>
    <row r="24" spans="1:5" ht="17.399999999999999" x14ac:dyDescent="0.3">
      <c r="A24" s="26" t="s">
        <v>26</v>
      </c>
      <c r="B24" s="15" t="s">
        <v>27</v>
      </c>
      <c r="C24" s="22">
        <f>SUM(C25:C27)</f>
        <v>641.95176666666657</v>
      </c>
      <c r="D24" s="22">
        <f>SUM(D25:D27)</f>
        <v>0.23264432340232249</v>
      </c>
      <c r="E24" s="22">
        <f>SUM(E25:E27)</f>
        <v>7703.4211999999998</v>
      </c>
    </row>
    <row r="25" spans="1:5" ht="15.6" x14ac:dyDescent="0.3">
      <c r="A25" s="24" t="s">
        <v>28</v>
      </c>
      <c r="B25" s="13" t="s">
        <v>61</v>
      </c>
      <c r="C25" s="7">
        <f>D25*C7</f>
        <v>496.68659999999994</v>
      </c>
      <c r="D25" s="2">
        <v>0.18</v>
      </c>
      <c r="E25" s="7">
        <f>C25*12</f>
        <v>5960.2391999999991</v>
      </c>
    </row>
    <row r="26" spans="1:5" ht="15.6" x14ac:dyDescent="0.3">
      <c r="A26" s="24" t="s">
        <v>29</v>
      </c>
      <c r="B26" s="2" t="s">
        <v>30</v>
      </c>
      <c r="C26" s="7">
        <f>D26*C7</f>
        <v>137.96850000000001</v>
      </c>
      <c r="D26" s="2">
        <v>0.05</v>
      </c>
      <c r="E26" s="7">
        <f>C26*12</f>
        <v>1655.6220000000001</v>
      </c>
    </row>
    <row r="27" spans="1:5" ht="15.6" x14ac:dyDescent="0.3">
      <c r="A27" s="57" t="s">
        <v>31</v>
      </c>
      <c r="B27" s="55" t="s">
        <v>57</v>
      </c>
      <c r="C27" s="54">
        <f>E27/12</f>
        <v>7.2966666666666669</v>
      </c>
      <c r="D27" s="56">
        <f>C27/C7</f>
        <v>2.6443234023225109E-3</v>
      </c>
      <c r="E27" s="55">
        <f>87.56*1</f>
        <v>87.56</v>
      </c>
    </row>
    <row r="28" spans="1:5" ht="17.399999999999999" x14ac:dyDescent="0.3">
      <c r="A28" s="65" t="s">
        <v>32</v>
      </c>
      <c r="B28" s="17" t="s">
        <v>33</v>
      </c>
      <c r="C28" s="22">
        <f>SUM(C29:C33)</f>
        <v>9358.7998000000007</v>
      </c>
      <c r="D28" s="22">
        <f>SUM(D29:D33)</f>
        <v>3.3916436722875143</v>
      </c>
      <c r="E28" s="22">
        <f>SUM(E29:E33)</f>
        <v>112305.59760000001</v>
      </c>
    </row>
    <row r="29" spans="1:5" ht="15.6" x14ac:dyDescent="0.3">
      <c r="A29" s="57" t="s">
        <v>34</v>
      </c>
      <c r="B29" s="13" t="s">
        <v>62</v>
      </c>
      <c r="C29" s="7">
        <f>D29*C7</f>
        <v>4828.8975</v>
      </c>
      <c r="D29" s="2">
        <v>1.75</v>
      </c>
      <c r="E29" s="7">
        <f>C29*12</f>
        <v>57946.770000000004</v>
      </c>
    </row>
    <row r="30" spans="1:5" ht="15.6" x14ac:dyDescent="0.3">
      <c r="A30" s="57" t="s">
        <v>35</v>
      </c>
      <c r="B30" s="55" t="s">
        <v>36</v>
      </c>
      <c r="C30" s="55">
        <v>2350</v>
      </c>
      <c r="D30" s="7">
        <f>C30/C7</f>
        <v>0.85164367228751492</v>
      </c>
      <c r="E30" s="2">
        <f>C30*12</f>
        <v>28200</v>
      </c>
    </row>
    <row r="31" spans="1:5" ht="15.6" x14ac:dyDescent="0.3">
      <c r="A31" s="57" t="s">
        <v>37</v>
      </c>
      <c r="B31" s="2" t="s">
        <v>30</v>
      </c>
      <c r="C31" s="7">
        <f>D31*C7</f>
        <v>248.34329999999997</v>
      </c>
      <c r="D31" s="2">
        <v>0.09</v>
      </c>
      <c r="E31" s="7">
        <f>C31*12</f>
        <v>2980.1195999999995</v>
      </c>
    </row>
    <row r="32" spans="1:5" ht="15.6" x14ac:dyDescent="0.3">
      <c r="A32" s="57" t="s">
        <v>38</v>
      </c>
      <c r="B32" s="2" t="s">
        <v>40</v>
      </c>
      <c r="C32" s="7">
        <f>D32*C7</f>
        <v>82.781099999999995</v>
      </c>
      <c r="D32" s="2">
        <v>0.03</v>
      </c>
      <c r="E32" s="7">
        <f>C32*12</f>
        <v>993.3732</v>
      </c>
    </row>
    <row r="33" spans="1:5" ht="15.6" x14ac:dyDescent="0.3">
      <c r="A33" s="57" t="s">
        <v>39</v>
      </c>
      <c r="B33" s="2" t="s">
        <v>41</v>
      </c>
      <c r="C33" s="7">
        <f>D33*C7</f>
        <v>1848.7779</v>
      </c>
      <c r="D33" s="2">
        <v>0.67</v>
      </c>
      <c r="E33" s="7">
        <f>C33*12</f>
        <v>22185.334800000001</v>
      </c>
    </row>
    <row r="34" spans="1:5" ht="31.2" x14ac:dyDescent="0.3">
      <c r="A34" s="65" t="s">
        <v>42</v>
      </c>
      <c r="B34" s="18" t="s">
        <v>43</v>
      </c>
      <c r="C34" s="22">
        <f>SUM(C35:C40)</f>
        <v>7914.7882333333318</v>
      </c>
      <c r="D34" s="22">
        <f>SUM(D35:D40)</f>
        <v>2.8683316240059624</v>
      </c>
      <c r="E34" s="22">
        <f>SUM(E35:E40)</f>
        <v>94977.458800000008</v>
      </c>
    </row>
    <row r="35" spans="1:5" ht="27" x14ac:dyDescent="0.3">
      <c r="A35" s="57" t="s">
        <v>44</v>
      </c>
      <c r="B35" s="12" t="s">
        <v>73</v>
      </c>
      <c r="C35" s="7">
        <f>D35*C7</f>
        <v>6981.2060999999994</v>
      </c>
      <c r="D35" s="2">
        <v>2.5299999999999998</v>
      </c>
      <c r="E35" s="7">
        <f>C35*12</f>
        <v>83774.473199999993</v>
      </c>
    </row>
    <row r="36" spans="1:5" ht="15.6" x14ac:dyDescent="0.3">
      <c r="A36" s="57" t="s">
        <v>46</v>
      </c>
      <c r="B36" s="58" t="s">
        <v>45</v>
      </c>
      <c r="C36" s="54">
        <f>D36*C7</f>
        <v>248.34329999999997</v>
      </c>
      <c r="D36" s="55">
        <v>0.09</v>
      </c>
      <c r="E36" s="7">
        <f t="shared" ref="E36:E40" si="1">C36*12</f>
        <v>2980.1195999999995</v>
      </c>
    </row>
    <row r="37" spans="1:5" ht="15.6" x14ac:dyDescent="0.3">
      <c r="A37" s="57" t="s">
        <v>47</v>
      </c>
      <c r="B37" s="55" t="s">
        <v>48</v>
      </c>
      <c r="C37" s="54">
        <f>D37*C7</f>
        <v>55.187399999999997</v>
      </c>
      <c r="D37" s="55">
        <v>0.02</v>
      </c>
      <c r="E37" s="7">
        <f t="shared" si="1"/>
        <v>662.24879999999996</v>
      </c>
    </row>
    <row r="38" spans="1:5" ht="15.6" x14ac:dyDescent="0.3">
      <c r="A38" s="57" t="s">
        <v>49</v>
      </c>
      <c r="B38" s="55" t="s">
        <v>50</v>
      </c>
      <c r="C38" s="54">
        <f>D38*C7</f>
        <v>82.781099999999995</v>
      </c>
      <c r="D38" s="55">
        <v>0.03</v>
      </c>
      <c r="E38" s="7">
        <f t="shared" si="1"/>
        <v>993.3732</v>
      </c>
    </row>
    <row r="39" spans="1:5" ht="15.6" x14ac:dyDescent="0.3">
      <c r="A39" s="57" t="s">
        <v>51</v>
      </c>
      <c r="B39" s="55" t="s">
        <v>52</v>
      </c>
      <c r="C39" s="59">
        <f>E39/12</f>
        <v>271.33333333333331</v>
      </c>
      <c r="D39" s="59">
        <f>C39/C7</f>
        <v>9.8331624005962709E-2</v>
      </c>
      <c r="E39" s="37">
        <f>C8*4*2</f>
        <v>3256</v>
      </c>
    </row>
    <row r="40" spans="1:5" ht="15.6" x14ac:dyDescent="0.3">
      <c r="A40" s="24" t="s">
        <v>53</v>
      </c>
      <c r="B40" s="2" t="s">
        <v>30</v>
      </c>
      <c r="C40" s="7">
        <f>D40*C7</f>
        <v>275.93700000000001</v>
      </c>
      <c r="D40" s="2">
        <v>0.1</v>
      </c>
      <c r="E40" s="7">
        <f t="shared" si="1"/>
        <v>3311.2440000000001</v>
      </c>
    </row>
    <row r="41" spans="1:5" ht="17.399999999999999" x14ac:dyDescent="0.3">
      <c r="A41" s="26" t="s">
        <v>68</v>
      </c>
      <c r="B41" s="16" t="s">
        <v>59</v>
      </c>
      <c r="C41" s="16">
        <f>D41*C7</f>
        <v>2771.3492701333375</v>
      </c>
      <c r="D41" s="22">
        <f>C9-D16-D23</f>
        <v>1.004341306216034</v>
      </c>
      <c r="E41" s="22">
        <f>C41*12</f>
        <v>33256.191241600049</v>
      </c>
    </row>
    <row r="42" spans="1:5" ht="15.6" x14ac:dyDescent="0.3">
      <c r="A42" s="24" t="s">
        <v>77</v>
      </c>
      <c r="B42" s="2" t="s">
        <v>78</v>
      </c>
      <c r="C42" s="7">
        <f>E42/12</f>
        <v>2771.3491666666669</v>
      </c>
      <c r="D42" s="7">
        <f>C42/C7</f>
        <v>1.0043412687195508</v>
      </c>
      <c r="E42" s="55">
        <v>33256.19</v>
      </c>
    </row>
    <row r="43" spans="1:5" ht="15.6" x14ac:dyDescent="0.3">
      <c r="A43" s="24" t="s">
        <v>79</v>
      </c>
      <c r="B43" s="2"/>
      <c r="C43" s="7">
        <f>E43/12</f>
        <v>0</v>
      </c>
      <c r="D43" s="7">
        <f>C43/C7</f>
        <v>0</v>
      </c>
      <c r="E43" s="55"/>
    </row>
    <row r="44" spans="1:5" ht="15.6" x14ac:dyDescent="0.3">
      <c r="A44" s="24" t="s">
        <v>80</v>
      </c>
      <c r="B44" s="2"/>
      <c r="C44" s="7">
        <f>E44/12</f>
        <v>0</v>
      </c>
      <c r="D44" s="7">
        <f>C44/C7</f>
        <v>0</v>
      </c>
      <c r="E44" s="55"/>
    </row>
    <row r="45" spans="1:5" ht="15.6" x14ac:dyDescent="0.3">
      <c r="A45" s="24" t="s">
        <v>81</v>
      </c>
      <c r="B45" s="2"/>
      <c r="C45" s="7">
        <f t="shared" ref="C45:C50" si="2">E45/12</f>
        <v>0</v>
      </c>
      <c r="D45" s="7">
        <f>C45/C7</f>
        <v>0</v>
      </c>
      <c r="E45" s="55"/>
    </row>
    <row r="46" spans="1:5" ht="15.6" x14ac:dyDescent="0.3">
      <c r="A46" s="24" t="s">
        <v>82</v>
      </c>
      <c r="B46" s="2"/>
      <c r="C46" s="7">
        <f>E46/12</f>
        <v>0</v>
      </c>
      <c r="D46" s="7">
        <f>C46/C7</f>
        <v>0</v>
      </c>
      <c r="E46" s="55"/>
    </row>
    <row r="47" spans="1:5" ht="15.6" x14ac:dyDescent="0.3">
      <c r="A47" s="24" t="s">
        <v>83</v>
      </c>
      <c r="B47" s="2"/>
      <c r="C47" s="7">
        <f t="shared" si="2"/>
        <v>0</v>
      </c>
      <c r="D47" s="7">
        <f>C47/C7</f>
        <v>0</v>
      </c>
      <c r="E47" s="55"/>
    </row>
    <row r="48" spans="1:5" ht="15.6" x14ac:dyDescent="0.3">
      <c r="A48" s="24" t="s">
        <v>132</v>
      </c>
      <c r="B48" s="2"/>
      <c r="C48" s="7">
        <f t="shared" si="2"/>
        <v>0</v>
      </c>
      <c r="D48" s="7">
        <f>C48/C13</f>
        <v>0</v>
      </c>
      <c r="E48" s="55"/>
    </row>
    <row r="49" spans="1:5" ht="15.6" x14ac:dyDescent="0.3">
      <c r="A49" s="38" t="s">
        <v>133</v>
      </c>
      <c r="B49" s="2"/>
      <c r="C49" s="7">
        <f t="shared" si="2"/>
        <v>0</v>
      </c>
      <c r="D49" s="7">
        <f>C49/C7</f>
        <v>0</v>
      </c>
      <c r="E49" s="55"/>
    </row>
    <row r="50" spans="1:5" ht="15.6" x14ac:dyDescent="0.3">
      <c r="A50" s="24" t="s">
        <v>134</v>
      </c>
      <c r="B50" s="2"/>
      <c r="C50" s="7">
        <f t="shared" si="2"/>
        <v>0</v>
      </c>
      <c r="D50" s="7">
        <f>C50/C7</f>
        <v>0</v>
      </c>
      <c r="E50" s="55"/>
    </row>
    <row r="51" spans="1:5" ht="15.6" x14ac:dyDescent="0.3">
      <c r="A51" s="24"/>
      <c r="B51" s="2"/>
      <c r="C51" s="7"/>
      <c r="D51" s="7"/>
      <c r="E51" s="55"/>
    </row>
    <row r="52" spans="1:5" ht="15.6" x14ac:dyDescent="0.3">
      <c r="A52" s="24"/>
      <c r="B52" s="2"/>
      <c r="C52" s="7"/>
      <c r="D52" s="7"/>
      <c r="E52" s="55"/>
    </row>
    <row r="53" spans="1:5" ht="15.6" x14ac:dyDescent="0.3">
      <c r="A53" s="24"/>
      <c r="B53" s="2"/>
      <c r="C53" s="7"/>
      <c r="D53" s="7"/>
      <c r="E53" s="55"/>
    </row>
    <row r="54" spans="1:5" ht="15.6" x14ac:dyDescent="0.3">
      <c r="A54" s="24"/>
      <c r="B54" s="2"/>
      <c r="C54" s="7"/>
      <c r="D54" s="7"/>
      <c r="E54" s="55"/>
    </row>
    <row r="55" spans="1:5" ht="15.6" x14ac:dyDescent="0.3">
      <c r="A55" s="24"/>
      <c r="B55" s="2"/>
      <c r="C55" s="7"/>
      <c r="D55" s="7"/>
      <c r="E55" s="55"/>
    </row>
    <row r="56" spans="1:5" ht="15.6" x14ac:dyDescent="0.3">
      <c r="A56" s="24"/>
      <c r="B56" s="40" t="s">
        <v>70</v>
      </c>
      <c r="C56" s="41">
        <f>SUM(C42:C55)</f>
        <v>2771.3491666666669</v>
      </c>
      <c r="D56" s="41">
        <f>SUM(D42:D55)</f>
        <v>1.0043412687195508</v>
      </c>
      <c r="E56" s="40">
        <f>SUM(E42:E55)</f>
        <v>33256.19</v>
      </c>
    </row>
    <row r="57" spans="1:5" ht="15.6" x14ac:dyDescent="0.3">
      <c r="A57" s="31"/>
      <c r="B57" s="32" t="s">
        <v>60</v>
      </c>
      <c r="C57" s="30">
        <f>D57*C7</f>
        <v>28918.1976</v>
      </c>
      <c r="D57" s="30">
        <f>D41+D23+D16</f>
        <v>10.48</v>
      </c>
      <c r="E57" s="30">
        <f>C57*12</f>
        <v>347018.37119999999</v>
      </c>
    </row>
    <row r="58" spans="1:5" ht="15.6" x14ac:dyDescent="0.3">
      <c r="A58" s="31" t="s">
        <v>69</v>
      </c>
      <c r="B58" s="16" t="s">
        <v>65</v>
      </c>
      <c r="C58" s="16">
        <f>D58*C7</f>
        <v>750</v>
      </c>
      <c r="D58" s="22">
        <f>C10/C7/12</f>
        <v>0.27180117200665371</v>
      </c>
      <c r="E58" s="16">
        <f>C58*12</f>
        <v>9000</v>
      </c>
    </row>
    <row r="59" spans="1:5" ht="15.6" x14ac:dyDescent="0.3">
      <c r="A59" s="24" t="s">
        <v>74</v>
      </c>
      <c r="B59" s="55" t="s">
        <v>72</v>
      </c>
      <c r="C59" s="76">
        <f>E59/12</f>
        <v>750</v>
      </c>
      <c r="D59" s="54">
        <f>C59/C7</f>
        <v>0.27180117200665371</v>
      </c>
      <c r="E59" s="55">
        <v>9000</v>
      </c>
    </row>
    <row r="60" spans="1:5" ht="15.6" x14ac:dyDescent="0.3">
      <c r="A60" s="24" t="s">
        <v>75</v>
      </c>
      <c r="B60" s="55"/>
      <c r="C60" s="76"/>
      <c r="D60" s="54"/>
      <c r="E60" s="55"/>
    </row>
    <row r="61" spans="1:5" ht="15.6" x14ac:dyDescent="0.3">
      <c r="A61" s="24" t="s">
        <v>96</v>
      </c>
      <c r="B61" s="55"/>
      <c r="C61" s="76"/>
      <c r="D61" s="54"/>
      <c r="E61" s="55"/>
    </row>
    <row r="62" spans="1:5" ht="15.6" x14ac:dyDescent="0.3">
      <c r="A62" s="4"/>
      <c r="B62" s="42" t="s">
        <v>70</v>
      </c>
      <c r="C62" s="42"/>
      <c r="D62" s="43">
        <f>SUM(D59:D61)</f>
        <v>0.27180117200665371</v>
      </c>
      <c r="E62" s="42"/>
    </row>
    <row r="63" spans="1:5" x14ac:dyDescent="0.3">
      <c r="A63" s="119" t="s">
        <v>166</v>
      </c>
      <c r="B63" s="120"/>
      <c r="C63" s="120"/>
      <c r="D63" s="120"/>
      <c r="E63" s="121"/>
    </row>
    <row r="64" spans="1:5" x14ac:dyDescent="0.3">
      <c r="A64" s="122"/>
      <c r="B64" s="123"/>
      <c r="C64" s="123"/>
      <c r="D64" s="123"/>
      <c r="E64" s="124"/>
    </row>
    <row r="65" spans="1:5" x14ac:dyDescent="0.3">
      <c r="A65" s="122"/>
      <c r="B65" s="123"/>
      <c r="C65" s="123"/>
      <c r="D65" s="123"/>
      <c r="E65" s="124"/>
    </row>
    <row r="66" spans="1:5" x14ac:dyDescent="0.3">
      <c r="A66" s="125"/>
      <c r="B66" s="126"/>
      <c r="C66" s="126"/>
      <c r="D66" s="126"/>
      <c r="E66" s="127"/>
    </row>
    <row r="67" spans="1:5" ht="42" customHeight="1" x14ac:dyDescent="0.3">
      <c r="A67" s="114" t="s">
        <v>167</v>
      </c>
      <c r="B67" s="115"/>
      <c r="C67" s="3"/>
      <c r="D67" s="3"/>
      <c r="E67" s="3"/>
    </row>
  </sheetData>
  <mergeCells count="18">
    <mergeCell ref="A10:B10"/>
    <mergeCell ref="C10:E10"/>
    <mergeCell ref="A63:E66"/>
    <mergeCell ref="A67:B67"/>
    <mergeCell ref="A7:B7"/>
    <mergeCell ref="C7:E7"/>
    <mergeCell ref="A13:B13"/>
    <mergeCell ref="C13:E13"/>
    <mergeCell ref="A14:E14"/>
    <mergeCell ref="A8:B8"/>
    <mergeCell ref="C8:E8"/>
    <mergeCell ref="A9:B9"/>
    <mergeCell ref="C9:E9"/>
    <mergeCell ref="A2:E4"/>
    <mergeCell ref="A5:B5"/>
    <mergeCell ref="C5:E5"/>
    <mergeCell ref="A6:B6"/>
    <mergeCell ref="C6:E6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68"/>
  <sheetViews>
    <sheetView topLeftCell="A44" workbookViewId="0">
      <selection activeCell="A60" sqref="A60:XFD62"/>
    </sheetView>
  </sheetViews>
  <sheetFormatPr defaultRowHeight="13.8" x14ac:dyDescent="0.3"/>
  <cols>
    <col min="1" max="1" width="8.5546875" style="29" customWidth="1"/>
    <col min="2" max="2" width="51.88671875" customWidth="1"/>
    <col min="3" max="3" width="11.6640625" customWidth="1"/>
    <col min="4" max="4" width="11.88671875" customWidth="1"/>
    <col min="5" max="5" width="12.33203125" customWidth="1"/>
  </cols>
  <sheetData>
    <row r="2" spans="1:9" x14ac:dyDescent="0.3">
      <c r="A2" s="102" t="s">
        <v>103</v>
      </c>
      <c r="B2" s="102"/>
      <c r="C2" s="102"/>
      <c r="D2" s="102"/>
      <c r="E2" s="102"/>
    </row>
    <row r="3" spans="1:9" x14ac:dyDescent="0.3">
      <c r="A3" s="102"/>
      <c r="B3" s="102"/>
      <c r="C3" s="102"/>
      <c r="D3" s="102"/>
      <c r="E3" s="102"/>
    </row>
    <row r="4" spans="1:9" x14ac:dyDescent="0.3">
      <c r="A4" s="103"/>
      <c r="B4" s="103"/>
      <c r="C4" s="103"/>
      <c r="D4" s="103"/>
      <c r="E4" s="103"/>
    </row>
    <row r="5" spans="1:9" ht="15.6" x14ac:dyDescent="0.3">
      <c r="A5" s="97" t="s">
        <v>0</v>
      </c>
      <c r="B5" s="98"/>
      <c r="C5" s="97" t="s">
        <v>1</v>
      </c>
      <c r="D5" s="104"/>
      <c r="E5" s="98"/>
    </row>
    <row r="6" spans="1:9" ht="15.6" x14ac:dyDescent="0.3">
      <c r="A6" s="97" t="s">
        <v>2</v>
      </c>
      <c r="B6" s="98"/>
      <c r="C6" s="99">
        <v>1</v>
      </c>
      <c r="D6" s="100"/>
      <c r="E6" s="101"/>
    </row>
    <row r="7" spans="1:9" ht="15.6" x14ac:dyDescent="0.3">
      <c r="A7" s="97" t="s">
        <v>3</v>
      </c>
      <c r="B7" s="98"/>
      <c r="C7" s="99">
        <v>2707.89</v>
      </c>
      <c r="D7" s="100"/>
      <c r="E7" s="101"/>
    </row>
    <row r="8" spans="1:9" ht="15.6" x14ac:dyDescent="0.3">
      <c r="A8" s="97" t="s">
        <v>4</v>
      </c>
      <c r="B8" s="98"/>
      <c r="C8" s="99">
        <v>407</v>
      </c>
      <c r="D8" s="100"/>
      <c r="E8" s="101"/>
    </row>
    <row r="9" spans="1:9" ht="15.6" x14ac:dyDescent="0.3">
      <c r="A9" s="97" t="s">
        <v>5</v>
      </c>
      <c r="B9" s="98"/>
      <c r="C9" s="99">
        <v>9.48</v>
      </c>
      <c r="D9" s="100"/>
      <c r="E9" s="101"/>
    </row>
    <row r="10" spans="1:9" ht="15.6" x14ac:dyDescent="0.3">
      <c r="A10" s="97" t="s">
        <v>6</v>
      </c>
      <c r="B10" s="98"/>
      <c r="C10" s="99">
        <v>9300</v>
      </c>
      <c r="D10" s="100"/>
      <c r="E10" s="101"/>
      <c r="F10" s="131" t="s">
        <v>126</v>
      </c>
      <c r="G10" s="132"/>
      <c r="H10" s="132"/>
      <c r="I10" s="132"/>
    </row>
    <row r="11" spans="1:9" ht="15.6" x14ac:dyDescent="0.3">
      <c r="A11" s="50"/>
      <c r="B11" s="51" t="s">
        <v>56</v>
      </c>
      <c r="C11" s="68"/>
      <c r="D11" s="70">
        <f>C7*C9</f>
        <v>25670.797200000001</v>
      </c>
      <c r="E11" s="69"/>
    </row>
    <row r="12" spans="1:9" ht="15.6" x14ac:dyDescent="0.3">
      <c r="A12" s="50"/>
      <c r="B12" s="51" t="s">
        <v>64</v>
      </c>
      <c r="C12" s="68"/>
      <c r="D12" s="70">
        <f>D11+(C10/12)</f>
        <v>26445.797200000001</v>
      </c>
      <c r="E12" s="69"/>
    </row>
    <row r="13" spans="1:9" ht="15.6" x14ac:dyDescent="0.3">
      <c r="A13" s="97" t="s">
        <v>7</v>
      </c>
      <c r="B13" s="98"/>
      <c r="C13" s="128">
        <f>(C7*C9*12)+C10</f>
        <v>317349.56640000001</v>
      </c>
      <c r="D13" s="129"/>
      <c r="E13" s="130"/>
    </row>
    <row r="14" spans="1:9" ht="15.6" x14ac:dyDescent="0.3">
      <c r="A14" s="97" t="s">
        <v>8</v>
      </c>
      <c r="B14" s="104"/>
      <c r="C14" s="104"/>
      <c r="D14" s="104"/>
      <c r="E14" s="98"/>
    </row>
    <row r="15" spans="1:9" ht="46.8" x14ac:dyDescent="0.3">
      <c r="A15" s="4"/>
      <c r="B15" s="10" t="s">
        <v>12</v>
      </c>
      <c r="C15" s="10" t="s">
        <v>13</v>
      </c>
      <c r="D15" s="11" t="s">
        <v>14</v>
      </c>
      <c r="E15" s="10" t="s">
        <v>15</v>
      </c>
    </row>
    <row r="16" spans="1:9" ht="18" x14ac:dyDescent="0.35">
      <c r="A16" s="23">
        <v>1</v>
      </c>
      <c r="B16" s="14" t="s">
        <v>9</v>
      </c>
      <c r="C16" s="21">
        <f>C17+C18</f>
        <v>7237.6240850666672</v>
      </c>
      <c r="D16" s="21">
        <f>D17+D18</f>
        <v>2.7704530306130111</v>
      </c>
      <c r="E16" s="21">
        <f>E17+E18</f>
        <v>86851.489020800014</v>
      </c>
    </row>
    <row r="17" spans="1:5" ht="15.6" x14ac:dyDescent="0.3">
      <c r="A17" s="24" t="s">
        <v>10</v>
      </c>
      <c r="B17" s="8" t="s">
        <v>11</v>
      </c>
      <c r="C17" s="54">
        <f>(D11*13.8%)+(C10*13.8%/12)</f>
        <v>3649.5200136000003</v>
      </c>
      <c r="D17" s="54">
        <f>C17/C7</f>
        <v>1.3477356959108384</v>
      </c>
      <c r="E17" s="54">
        <f>C17*12</f>
        <v>43794.240163200004</v>
      </c>
    </row>
    <row r="18" spans="1:5" ht="15.6" x14ac:dyDescent="0.3">
      <c r="A18" s="4" t="s">
        <v>16</v>
      </c>
      <c r="B18" s="8" t="s">
        <v>17</v>
      </c>
      <c r="C18" s="62">
        <f>SUM(C19:C21)</f>
        <v>3588.1040714666669</v>
      </c>
      <c r="D18" s="62">
        <f>SUM(D19:D22)</f>
        <v>1.4227173347021727</v>
      </c>
      <c r="E18" s="62">
        <f t="shared" ref="E18" si="0">SUM(E19:E21)</f>
        <v>43057.248857600003</v>
      </c>
    </row>
    <row r="19" spans="1:5" ht="15.6" x14ac:dyDescent="0.3">
      <c r="A19" s="24" t="s">
        <v>18</v>
      </c>
      <c r="B19" s="8" t="s">
        <v>19</v>
      </c>
      <c r="C19" s="54">
        <f>E19/12</f>
        <v>1984.1666666666667</v>
      </c>
      <c r="D19" s="54">
        <f>C19/C7</f>
        <v>0.73273532775211214</v>
      </c>
      <c r="E19" s="54">
        <v>23810</v>
      </c>
    </row>
    <row r="20" spans="1:5" ht="42" x14ac:dyDescent="0.3">
      <c r="A20" s="24" t="s">
        <v>20</v>
      </c>
      <c r="B20" s="13" t="s">
        <v>21</v>
      </c>
      <c r="C20" s="54">
        <f>D20*C7</f>
        <v>731.13030000000003</v>
      </c>
      <c r="D20" s="55">
        <v>0.27</v>
      </c>
      <c r="E20" s="54">
        <f>C20*12</f>
        <v>8773.5636000000013</v>
      </c>
    </row>
    <row r="21" spans="1:5" ht="15.6" x14ac:dyDescent="0.3">
      <c r="A21" s="24" t="s">
        <v>22</v>
      </c>
      <c r="B21" s="8" t="s">
        <v>23</v>
      </c>
      <c r="C21" s="7">
        <f>D11*3.4%</f>
        <v>872.80710480000005</v>
      </c>
      <c r="D21" s="7">
        <f>C21/C7</f>
        <v>0.32232000000000005</v>
      </c>
      <c r="E21" s="7">
        <f>C21*12</f>
        <v>10473.6852576</v>
      </c>
    </row>
    <row r="22" spans="1:5" ht="15.6" x14ac:dyDescent="0.3">
      <c r="A22" s="24" t="s">
        <v>66</v>
      </c>
      <c r="B22" s="8" t="s">
        <v>67</v>
      </c>
      <c r="C22" s="7">
        <f>E22/12</f>
        <v>264.45797199999998</v>
      </c>
      <c r="D22" s="7">
        <f>C22/C7</f>
        <v>9.7662006950060748E-2</v>
      </c>
      <c r="E22" s="7">
        <f>C13*1%</f>
        <v>3173.495664</v>
      </c>
    </row>
    <row r="23" spans="1:5" ht="18" x14ac:dyDescent="0.35">
      <c r="A23" s="25" t="s">
        <v>24</v>
      </c>
      <c r="B23" s="14" t="s">
        <v>25</v>
      </c>
      <c r="C23" s="21">
        <f>C24+C28+C34</f>
        <v>17630.3406</v>
      </c>
      <c r="D23" s="21">
        <f>D24+D28+D34</f>
        <v>6.5107299779533134</v>
      </c>
      <c r="E23" s="21">
        <f>E24+E28+E34</f>
        <v>211564.08719999998</v>
      </c>
    </row>
    <row r="24" spans="1:5" ht="17.399999999999999" x14ac:dyDescent="0.3">
      <c r="A24" s="26" t="s">
        <v>26</v>
      </c>
      <c r="B24" s="15" t="s">
        <v>27</v>
      </c>
      <c r="C24" s="22">
        <f>SUM(C25:C27)</f>
        <v>630.11136666666653</v>
      </c>
      <c r="D24" s="22">
        <f>SUM(D25:D27)</f>
        <v>0.23269459493061631</v>
      </c>
      <c r="E24" s="22">
        <f>SUM(E25:E27)</f>
        <v>7561.3363999999992</v>
      </c>
    </row>
    <row r="25" spans="1:5" ht="15.6" x14ac:dyDescent="0.3">
      <c r="A25" s="24" t="s">
        <v>28</v>
      </c>
      <c r="B25" s="13" t="s">
        <v>61</v>
      </c>
      <c r="C25" s="7">
        <f>D25*C7</f>
        <v>487.42019999999997</v>
      </c>
      <c r="D25" s="2">
        <v>0.18</v>
      </c>
      <c r="E25" s="7">
        <f>C25*12</f>
        <v>5849.0423999999994</v>
      </c>
    </row>
    <row r="26" spans="1:5" ht="15.6" x14ac:dyDescent="0.3">
      <c r="A26" s="24" t="s">
        <v>29</v>
      </c>
      <c r="B26" s="2" t="s">
        <v>30</v>
      </c>
      <c r="C26" s="7">
        <f>D26*C7</f>
        <v>135.39449999999999</v>
      </c>
      <c r="D26" s="2">
        <v>0.05</v>
      </c>
      <c r="E26" s="7">
        <f>C26*12</f>
        <v>1624.7339999999999</v>
      </c>
    </row>
    <row r="27" spans="1:5" ht="15.6" x14ac:dyDescent="0.3">
      <c r="A27" s="27" t="s">
        <v>31</v>
      </c>
      <c r="B27" s="55" t="s">
        <v>57</v>
      </c>
      <c r="C27" s="7">
        <f>E27/12</f>
        <v>7.2966666666666669</v>
      </c>
      <c r="D27" s="19">
        <f>C27/C7</f>
        <v>2.6945949306163351E-3</v>
      </c>
      <c r="E27" s="55">
        <f>87.56*1</f>
        <v>87.56</v>
      </c>
    </row>
    <row r="28" spans="1:5" ht="17.399999999999999" x14ac:dyDescent="0.3">
      <c r="A28" s="26" t="s">
        <v>32</v>
      </c>
      <c r="B28" s="17" t="s">
        <v>33</v>
      </c>
      <c r="C28" s="22">
        <f>SUM(C29:C33)</f>
        <v>9228.0406000000003</v>
      </c>
      <c r="D28" s="22">
        <f>SUM(D29:D33)</f>
        <v>3.4078343655022914</v>
      </c>
      <c r="E28" s="22">
        <f>SUM(E29:E33)</f>
        <v>110736.4872</v>
      </c>
    </row>
    <row r="29" spans="1:5" ht="15.6" x14ac:dyDescent="0.3">
      <c r="A29" s="24" t="s">
        <v>34</v>
      </c>
      <c r="B29" s="63" t="s">
        <v>62</v>
      </c>
      <c r="C29" s="54">
        <f>D29*C7</f>
        <v>4738.8074999999999</v>
      </c>
      <c r="D29" s="2">
        <v>1.75</v>
      </c>
      <c r="E29" s="7">
        <f>C29*12</f>
        <v>56865.69</v>
      </c>
    </row>
    <row r="30" spans="1:5" ht="15.6" x14ac:dyDescent="0.3">
      <c r="A30" s="27" t="s">
        <v>35</v>
      </c>
      <c r="B30" s="55" t="s">
        <v>36</v>
      </c>
      <c r="C30" s="55">
        <v>2350</v>
      </c>
      <c r="D30" s="7">
        <f>C30/C7</f>
        <v>0.86783436550229154</v>
      </c>
      <c r="E30" s="2">
        <f>C30*12</f>
        <v>28200</v>
      </c>
    </row>
    <row r="31" spans="1:5" ht="15.6" x14ac:dyDescent="0.3">
      <c r="A31" s="24" t="s">
        <v>37</v>
      </c>
      <c r="B31" s="55" t="s">
        <v>30</v>
      </c>
      <c r="C31" s="54">
        <f>D31*C7</f>
        <v>243.71009999999998</v>
      </c>
      <c r="D31" s="2">
        <v>0.09</v>
      </c>
      <c r="E31" s="7">
        <f>C31*12</f>
        <v>2924.5211999999997</v>
      </c>
    </row>
    <row r="32" spans="1:5" ht="15.6" x14ac:dyDescent="0.3">
      <c r="A32" s="27" t="s">
        <v>38</v>
      </c>
      <c r="B32" s="55" t="s">
        <v>40</v>
      </c>
      <c r="C32" s="54">
        <f>D32*C7</f>
        <v>81.236699999999999</v>
      </c>
      <c r="D32" s="2">
        <v>0.03</v>
      </c>
      <c r="E32" s="7">
        <f>C32*12</f>
        <v>974.84040000000005</v>
      </c>
    </row>
    <row r="33" spans="1:5" ht="15.6" x14ac:dyDescent="0.3">
      <c r="A33" s="27" t="s">
        <v>39</v>
      </c>
      <c r="B33" s="2" t="s">
        <v>41</v>
      </c>
      <c r="C33" s="7">
        <f>D33*C7</f>
        <v>1814.2863</v>
      </c>
      <c r="D33" s="2">
        <v>0.67</v>
      </c>
      <c r="E33" s="7">
        <f>C33*12</f>
        <v>21771.435600000001</v>
      </c>
    </row>
    <row r="34" spans="1:5" ht="31.2" x14ac:dyDescent="0.3">
      <c r="A34" s="26" t="s">
        <v>42</v>
      </c>
      <c r="B34" s="18" t="s">
        <v>43</v>
      </c>
      <c r="C34" s="22">
        <f>SUM(C35:C40)</f>
        <v>7772.1886333333323</v>
      </c>
      <c r="D34" s="22">
        <f>SUM(D35:D40)</f>
        <v>2.8702010175204058</v>
      </c>
      <c r="E34" s="22">
        <f>SUM(E35:E40)</f>
        <v>93266.263599999977</v>
      </c>
    </row>
    <row r="35" spans="1:5" ht="27" x14ac:dyDescent="0.3">
      <c r="A35" s="24" t="s">
        <v>44</v>
      </c>
      <c r="B35" s="12" t="s">
        <v>73</v>
      </c>
      <c r="C35" s="7">
        <f>D35*C7</f>
        <v>6850.9616999999989</v>
      </c>
      <c r="D35" s="2">
        <v>2.5299999999999998</v>
      </c>
      <c r="E35" s="7">
        <f>C35*12</f>
        <v>82211.540399999983</v>
      </c>
    </row>
    <row r="36" spans="1:5" ht="15.6" x14ac:dyDescent="0.3">
      <c r="A36" s="24" t="s">
        <v>46</v>
      </c>
      <c r="B36" s="45" t="s">
        <v>45</v>
      </c>
      <c r="C36" s="7">
        <f>D36*C7</f>
        <v>243.71009999999998</v>
      </c>
      <c r="D36" s="2">
        <v>0.09</v>
      </c>
      <c r="E36" s="7">
        <f t="shared" ref="E36:E40" si="1">C36*12</f>
        <v>2924.5211999999997</v>
      </c>
    </row>
    <row r="37" spans="1:5" ht="15.6" x14ac:dyDescent="0.3">
      <c r="A37" s="24" t="s">
        <v>47</v>
      </c>
      <c r="B37" s="2" t="s">
        <v>48</v>
      </c>
      <c r="C37" s="7">
        <f>D37*C7</f>
        <v>54.157800000000002</v>
      </c>
      <c r="D37" s="2">
        <v>0.02</v>
      </c>
      <c r="E37" s="7">
        <f t="shared" si="1"/>
        <v>649.89359999999999</v>
      </c>
    </row>
    <row r="38" spans="1:5" ht="15.6" x14ac:dyDescent="0.3">
      <c r="A38" s="24" t="s">
        <v>49</v>
      </c>
      <c r="B38" s="2" t="s">
        <v>50</v>
      </c>
      <c r="C38" s="7">
        <f>D38*C7</f>
        <v>81.236699999999999</v>
      </c>
      <c r="D38" s="2">
        <v>0.03</v>
      </c>
      <c r="E38" s="7">
        <f t="shared" si="1"/>
        <v>974.84040000000005</v>
      </c>
    </row>
    <row r="39" spans="1:5" ht="15.6" x14ac:dyDescent="0.3">
      <c r="A39" s="27" t="s">
        <v>51</v>
      </c>
      <c r="B39" s="44" t="s">
        <v>52</v>
      </c>
      <c r="C39" s="37">
        <f>E39/12</f>
        <v>271.33333333333331</v>
      </c>
      <c r="D39" s="59">
        <f>C39/C7</f>
        <v>0.10020101752040642</v>
      </c>
      <c r="E39" s="37">
        <f>C8*4*2</f>
        <v>3256</v>
      </c>
    </row>
    <row r="40" spans="1:5" ht="15.6" x14ac:dyDescent="0.3">
      <c r="A40" s="24" t="s">
        <v>53</v>
      </c>
      <c r="B40" s="2" t="s">
        <v>30</v>
      </c>
      <c r="C40" s="7">
        <f>D40*C7</f>
        <v>270.78899999999999</v>
      </c>
      <c r="D40" s="2">
        <v>0.1</v>
      </c>
      <c r="E40" s="7">
        <f t="shared" si="1"/>
        <v>3249.4679999999998</v>
      </c>
    </row>
    <row r="41" spans="1:5" ht="17.399999999999999" x14ac:dyDescent="0.3">
      <c r="A41" s="26" t="s">
        <v>68</v>
      </c>
      <c r="B41" s="16" t="s">
        <v>59</v>
      </c>
      <c r="C41" s="16">
        <f>D41*C7</f>
        <v>538.37454293333792</v>
      </c>
      <c r="D41" s="22">
        <f>C9-D16-D23</f>
        <v>0.19881699143367637</v>
      </c>
      <c r="E41" s="22">
        <f>C41*12</f>
        <v>6460.4945152000546</v>
      </c>
    </row>
    <row r="42" spans="1:5" ht="15.6" x14ac:dyDescent="0.3">
      <c r="A42" s="38" t="s">
        <v>77</v>
      </c>
      <c r="B42" s="55" t="s">
        <v>78</v>
      </c>
      <c r="C42" s="54">
        <f>E42/12</f>
        <v>538.37416666666661</v>
      </c>
      <c r="D42" s="54">
        <f>C42/C7</f>
        <v>0.19881685248169853</v>
      </c>
      <c r="E42" s="55">
        <v>6460.49</v>
      </c>
    </row>
    <row r="43" spans="1:5" ht="15.6" x14ac:dyDescent="0.3">
      <c r="A43" s="38" t="s">
        <v>79</v>
      </c>
      <c r="B43" s="80"/>
      <c r="C43" s="54">
        <f>E43/12</f>
        <v>0</v>
      </c>
      <c r="D43" s="54">
        <f>C43/C7</f>
        <v>0</v>
      </c>
      <c r="E43" s="55">
        <v>0</v>
      </c>
    </row>
    <row r="44" spans="1:5" ht="15.6" x14ac:dyDescent="0.3">
      <c r="A44" s="38" t="s">
        <v>80</v>
      </c>
      <c r="B44" s="55"/>
      <c r="C44" s="54">
        <f>E44/12</f>
        <v>0</v>
      </c>
      <c r="D44" s="54">
        <f>C44/C7</f>
        <v>0</v>
      </c>
      <c r="E44" s="55">
        <v>0</v>
      </c>
    </row>
    <row r="45" spans="1:5" ht="15.6" x14ac:dyDescent="0.3">
      <c r="A45" s="24" t="s">
        <v>81</v>
      </c>
      <c r="B45" s="2"/>
      <c r="C45" s="7">
        <f>E45/12</f>
        <v>0</v>
      </c>
      <c r="D45" s="7">
        <f>C45/C7</f>
        <v>0</v>
      </c>
      <c r="E45" s="36"/>
    </row>
    <row r="46" spans="1:5" ht="15.6" x14ac:dyDescent="0.3">
      <c r="A46" s="24" t="s">
        <v>82</v>
      </c>
      <c r="B46" s="2"/>
      <c r="C46" s="7">
        <f>E46/12</f>
        <v>0</v>
      </c>
      <c r="D46" s="7">
        <f>C46/C7</f>
        <v>0</v>
      </c>
      <c r="E46" s="36"/>
    </row>
    <row r="47" spans="1:5" ht="15.6" x14ac:dyDescent="0.3">
      <c r="A47" s="24" t="s">
        <v>83</v>
      </c>
      <c r="B47" s="2"/>
      <c r="C47" s="7">
        <f t="shared" ref="C47:C50" si="2">E47/12</f>
        <v>0</v>
      </c>
      <c r="D47" s="7">
        <f>C47/C7</f>
        <v>0</v>
      </c>
      <c r="E47" s="36"/>
    </row>
    <row r="48" spans="1:5" ht="15.6" x14ac:dyDescent="0.3">
      <c r="A48" s="24" t="s">
        <v>132</v>
      </c>
      <c r="B48" s="2"/>
      <c r="C48" s="7">
        <f t="shared" si="2"/>
        <v>0</v>
      </c>
      <c r="D48" s="7">
        <f>C48/C7</f>
        <v>0</v>
      </c>
      <c r="E48" s="36"/>
    </row>
    <row r="49" spans="1:5" ht="15.6" x14ac:dyDescent="0.3">
      <c r="A49" s="38" t="s">
        <v>133</v>
      </c>
      <c r="B49" s="2"/>
      <c r="C49" s="7">
        <f t="shared" si="2"/>
        <v>0</v>
      </c>
      <c r="D49" s="7">
        <f>C49/C7</f>
        <v>0</v>
      </c>
      <c r="E49" s="36"/>
    </row>
    <row r="50" spans="1:5" ht="15.6" x14ac:dyDescent="0.3">
      <c r="A50" s="24" t="s">
        <v>134</v>
      </c>
      <c r="B50" s="2"/>
      <c r="C50" s="7">
        <f t="shared" si="2"/>
        <v>0</v>
      </c>
      <c r="D50" s="7">
        <f>C50/C7</f>
        <v>0</v>
      </c>
      <c r="E50" s="36"/>
    </row>
    <row r="51" spans="1:5" ht="15.6" x14ac:dyDescent="0.3">
      <c r="A51" s="24"/>
      <c r="B51" s="2"/>
      <c r="C51" s="7"/>
      <c r="D51" s="7"/>
      <c r="E51" s="36"/>
    </row>
    <row r="52" spans="1:5" ht="15.6" x14ac:dyDescent="0.3">
      <c r="A52" s="24"/>
      <c r="B52" s="2"/>
      <c r="C52" s="7"/>
      <c r="D52" s="7"/>
      <c r="E52" s="36"/>
    </row>
    <row r="53" spans="1:5" ht="15.6" x14ac:dyDescent="0.3">
      <c r="A53" s="24"/>
      <c r="B53" s="2"/>
      <c r="C53" s="7"/>
      <c r="D53" s="7"/>
      <c r="E53" s="36"/>
    </row>
    <row r="54" spans="1:5" ht="15.6" x14ac:dyDescent="0.3">
      <c r="A54" s="24"/>
      <c r="B54" s="2"/>
      <c r="C54" s="7"/>
      <c r="D54" s="7"/>
      <c r="E54" s="36"/>
    </row>
    <row r="55" spans="1:5" ht="15.6" x14ac:dyDescent="0.3">
      <c r="A55" s="24"/>
      <c r="B55" s="2"/>
      <c r="C55" s="7"/>
      <c r="D55" s="7"/>
      <c r="E55" s="36"/>
    </row>
    <row r="56" spans="1:5" ht="15.6" x14ac:dyDescent="0.3">
      <c r="A56" s="24"/>
      <c r="B56" s="40" t="s">
        <v>70</v>
      </c>
      <c r="C56" s="41">
        <f>SUM(C42:C55)</f>
        <v>538.37416666666661</v>
      </c>
      <c r="D56" s="41">
        <f>SUM(D42:D55)</f>
        <v>0.19881685248169853</v>
      </c>
      <c r="E56" s="40">
        <f>SUM(E42:E55)</f>
        <v>6460.49</v>
      </c>
    </row>
    <row r="57" spans="1:5" ht="15.6" x14ac:dyDescent="0.3">
      <c r="A57" s="31"/>
      <c r="B57" s="32" t="s">
        <v>60</v>
      </c>
      <c r="C57" s="30">
        <f>D57*C7</f>
        <v>25670.797200000001</v>
      </c>
      <c r="D57" s="30">
        <f>D41+D23+D16</f>
        <v>9.48</v>
      </c>
      <c r="E57" s="30">
        <f>C57*12</f>
        <v>308049.56640000001</v>
      </c>
    </row>
    <row r="58" spans="1:5" ht="15.6" x14ac:dyDescent="0.3">
      <c r="A58" s="31" t="s">
        <v>69</v>
      </c>
      <c r="B58" s="16" t="s">
        <v>65</v>
      </c>
      <c r="C58" s="16">
        <f>D58*C7</f>
        <v>775</v>
      </c>
      <c r="D58" s="22">
        <f>C10/C7/12</f>
        <v>0.28620069500607487</v>
      </c>
      <c r="E58" s="16">
        <f>C58*12</f>
        <v>9300</v>
      </c>
    </row>
    <row r="59" spans="1:5" ht="15.6" x14ac:dyDescent="0.3">
      <c r="A59" s="24" t="s">
        <v>74</v>
      </c>
      <c r="B59" s="55" t="s">
        <v>72</v>
      </c>
      <c r="C59" s="76">
        <f>E59/12</f>
        <v>775</v>
      </c>
      <c r="D59" s="54">
        <f>C59/C7</f>
        <v>0.28620069500607487</v>
      </c>
      <c r="E59" s="55">
        <v>9300</v>
      </c>
    </row>
    <row r="60" spans="1:5" ht="15.6" x14ac:dyDescent="0.3">
      <c r="A60" s="24" t="s">
        <v>75</v>
      </c>
      <c r="B60" s="55"/>
      <c r="C60" s="76"/>
      <c r="D60" s="54"/>
      <c r="E60" s="55"/>
    </row>
    <row r="61" spans="1:5" ht="15.6" x14ac:dyDescent="0.3">
      <c r="A61" s="24" t="s">
        <v>96</v>
      </c>
      <c r="B61" s="55"/>
      <c r="C61" s="76"/>
      <c r="D61" s="54"/>
      <c r="E61" s="55"/>
    </row>
    <row r="62" spans="1:5" ht="15.6" x14ac:dyDescent="0.3">
      <c r="A62" s="4"/>
      <c r="B62" s="55"/>
      <c r="C62" s="76"/>
      <c r="D62" s="54"/>
      <c r="E62" s="55"/>
    </row>
    <row r="63" spans="1:5" ht="15.6" x14ac:dyDescent="0.3">
      <c r="A63" s="4"/>
      <c r="B63" s="42" t="s">
        <v>70</v>
      </c>
      <c r="C63" s="42"/>
      <c r="D63" s="43">
        <f>SUM(D59:D62)</f>
        <v>0.28620069500607487</v>
      </c>
      <c r="E63" s="42"/>
    </row>
    <row r="64" spans="1:5" x14ac:dyDescent="0.3">
      <c r="A64" s="119" t="s">
        <v>166</v>
      </c>
      <c r="B64" s="120"/>
      <c r="C64" s="120"/>
      <c r="D64" s="120"/>
      <c r="E64" s="121"/>
    </row>
    <row r="65" spans="1:5" x14ac:dyDescent="0.3">
      <c r="A65" s="122"/>
      <c r="B65" s="123"/>
      <c r="C65" s="123"/>
      <c r="D65" s="123"/>
      <c r="E65" s="124"/>
    </row>
    <row r="66" spans="1:5" x14ac:dyDescent="0.3">
      <c r="A66" s="122"/>
      <c r="B66" s="123"/>
      <c r="C66" s="123"/>
      <c r="D66" s="123"/>
      <c r="E66" s="124"/>
    </row>
    <row r="67" spans="1:5" x14ac:dyDescent="0.3">
      <c r="A67" s="125"/>
      <c r="B67" s="126"/>
      <c r="C67" s="126"/>
      <c r="D67" s="126"/>
      <c r="E67" s="127"/>
    </row>
    <row r="68" spans="1:5" ht="42.75" customHeight="1" x14ac:dyDescent="0.3">
      <c r="A68" s="114" t="s">
        <v>167</v>
      </c>
      <c r="B68" s="115"/>
      <c r="C68" s="3"/>
      <c r="D68" s="3"/>
      <c r="E68" s="3"/>
    </row>
  </sheetData>
  <mergeCells count="19">
    <mergeCell ref="F10:I10"/>
    <mergeCell ref="A13:B13"/>
    <mergeCell ref="C13:E13"/>
    <mergeCell ref="A14:E14"/>
    <mergeCell ref="A8:B8"/>
    <mergeCell ref="C8:E8"/>
    <mergeCell ref="A9:B9"/>
    <mergeCell ref="C9:E9"/>
    <mergeCell ref="A10:B10"/>
    <mergeCell ref="C10:E10"/>
    <mergeCell ref="A64:E67"/>
    <mergeCell ref="A68:B68"/>
    <mergeCell ref="A7:B7"/>
    <mergeCell ref="C7:E7"/>
    <mergeCell ref="A2:E4"/>
    <mergeCell ref="A5:B5"/>
    <mergeCell ref="C5:E5"/>
    <mergeCell ref="A6:B6"/>
    <mergeCell ref="C6:E6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E68"/>
  <sheetViews>
    <sheetView topLeftCell="A27" workbookViewId="0">
      <selection activeCell="G33" sqref="G33"/>
    </sheetView>
  </sheetViews>
  <sheetFormatPr defaultRowHeight="13.8" x14ac:dyDescent="0.3"/>
  <cols>
    <col min="1" max="1" width="8.5546875" style="29" customWidth="1"/>
    <col min="2" max="2" width="51.88671875" customWidth="1"/>
    <col min="3" max="3" width="11.6640625" customWidth="1"/>
    <col min="4" max="4" width="11.88671875" customWidth="1"/>
    <col min="5" max="5" width="12.33203125" customWidth="1"/>
  </cols>
  <sheetData>
    <row r="2" spans="1:5" x14ac:dyDescent="0.3">
      <c r="A2" s="102" t="s">
        <v>101</v>
      </c>
      <c r="B2" s="102"/>
      <c r="C2" s="102"/>
      <c r="D2" s="102"/>
      <c r="E2" s="102"/>
    </row>
    <row r="3" spans="1:5" x14ac:dyDescent="0.3">
      <c r="A3" s="102"/>
      <c r="B3" s="102"/>
      <c r="C3" s="102"/>
      <c r="D3" s="102"/>
      <c r="E3" s="102"/>
    </row>
    <row r="4" spans="1:5" x14ac:dyDescent="0.3">
      <c r="A4" s="103"/>
      <c r="B4" s="103"/>
      <c r="C4" s="103"/>
      <c r="D4" s="103"/>
      <c r="E4" s="103"/>
    </row>
    <row r="5" spans="1:5" ht="15.6" x14ac:dyDescent="0.3">
      <c r="A5" s="97" t="s">
        <v>0</v>
      </c>
      <c r="B5" s="98"/>
      <c r="C5" s="97" t="s">
        <v>1</v>
      </c>
      <c r="D5" s="104"/>
      <c r="E5" s="98"/>
    </row>
    <row r="6" spans="1:5" ht="15.6" x14ac:dyDescent="0.3">
      <c r="A6" s="97" t="s">
        <v>2</v>
      </c>
      <c r="B6" s="98"/>
      <c r="C6" s="133">
        <v>1</v>
      </c>
      <c r="D6" s="134"/>
      <c r="E6" s="135"/>
    </row>
    <row r="7" spans="1:5" ht="15.6" x14ac:dyDescent="0.3">
      <c r="A7" s="97" t="s">
        <v>3</v>
      </c>
      <c r="B7" s="98"/>
      <c r="C7" s="133">
        <v>3253.7</v>
      </c>
      <c r="D7" s="134"/>
      <c r="E7" s="135"/>
    </row>
    <row r="8" spans="1:5" ht="15.6" x14ac:dyDescent="0.3">
      <c r="A8" s="97" t="s">
        <v>4</v>
      </c>
      <c r="B8" s="98"/>
      <c r="C8" s="133">
        <v>411</v>
      </c>
      <c r="D8" s="134"/>
      <c r="E8" s="135"/>
    </row>
    <row r="9" spans="1:5" ht="15.6" x14ac:dyDescent="0.3">
      <c r="A9" s="97" t="s">
        <v>5</v>
      </c>
      <c r="B9" s="98"/>
      <c r="C9" s="133">
        <v>9.48</v>
      </c>
      <c r="D9" s="134"/>
      <c r="E9" s="135"/>
    </row>
    <row r="10" spans="1:5" ht="15.6" x14ac:dyDescent="0.3">
      <c r="A10" s="97" t="s">
        <v>6</v>
      </c>
      <c r="B10" s="98"/>
      <c r="C10" s="133">
        <v>16000</v>
      </c>
      <c r="D10" s="134"/>
      <c r="E10" s="135"/>
    </row>
    <row r="11" spans="1:5" ht="15.6" x14ac:dyDescent="0.3">
      <c r="A11" s="50"/>
      <c r="B11" s="51" t="s">
        <v>56</v>
      </c>
      <c r="C11" s="68"/>
      <c r="D11" s="70">
        <f>C7*C9</f>
        <v>30845.076000000001</v>
      </c>
      <c r="E11" s="69"/>
    </row>
    <row r="12" spans="1:5" ht="15.6" x14ac:dyDescent="0.3">
      <c r="A12" s="50"/>
      <c r="B12" s="51" t="s">
        <v>64</v>
      </c>
      <c r="C12" s="68"/>
      <c r="D12" s="70">
        <f>D11+(C10/12)</f>
        <v>32178.409333333333</v>
      </c>
      <c r="E12" s="69"/>
    </row>
    <row r="13" spans="1:5" ht="15.6" x14ac:dyDescent="0.3">
      <c r="A13" s="97" t="s">
        <v>7</v>
      </c>
      <c r="B13" s="98"/>
      <c r="C13" s="128">
        <f>(C7*C9*12)+C10</f>
        <v>386140.91200000001</v>
      </c>
      <c r="D13" s="129"/>
      <c r="E13" s="130"/>
    </row>
    <row r="14" spans="1:5" ht="15.6" x14ac:dyDescent="0.3">
      <c r="A14" s="97" t="s">
        <v>8</v>
      </c>
      <c r="B14" s="104"/>
      <c r="C14" s="104"/>
      <c r="D14" s="104"/>
      <c r="E14" s="98"/>
    </row>
    <row r="15" spans="1:5" ht="46.8" x14ac:dyDescent="0.3">
      <c r="A15" s="4"/>
      <c r="B15" s="10" t="s">
        <v>12</v>
      </c>
      <c r="C15" s="10" t="s">
        <v>13</v>
      </c>
      <c r="D15" s="11" t="s">
        <v>14</v>
      </c>
      <c r="E15" s="10" t="s">
        <v>15</v>
      </c>
    </row>
    <row r="16" spans="1:5" ht="18" x14ac:dyDescent="0.35">
      <c r="A16" s="23">
        <v>1</v>
      </c>
      <c r="B16" s="14" t="s">
        <v>9</v>
      </c>
      <c r="C16" s="21">
        <f>C17+C18</f>
        <v>10728.768738666668</v>
      </c>
      <c r="D16" s="21">
        <f>D17+D18</f>
        <v>3.3963035411992504</v>
      </c>
      <c r="E16" s="21">
        <f>E17+E18</f>
        <v>128745.224864</v>
      </c>
    </row>
    <row r="17" spans="1:5" ht="15.6" x14ac:dyDescent="0.3">
      <c r="A17" s="24" t="s">
        <v>10</v>
      </c>
      <c r="B17" s="8" t="s">
        <v>11</v>
      </c>
      <c r="C17" s="54">
        <f>(D11*13.8%)+(C10*13.8%/12)</f>
        <v>4440.6204880000005</v>
      </c>
      <c r="D17" s="54">
        <f>C17/C7</f>
        <v>1.3647910034729696</v>
      </c>
      <c r="E17" s="54">
        <f>C17*12</f>
        <v>53287.445856000006</v>
      </c>
    </row>
    <row r="18" spans="1:5" ht="15.6" x14ac:dyDescent="0.3">
      <c r="A18" s="4" t="s">
        <v>16</v>
      </c>
      <c r="B18" s="8" t="s">
        <v>17</v>
      </c>
      <c r="C18" s="62">
        <f>SUM(C19:C21)</f>
        <v>6288.1482506666671</v>
      </c>
      <c r="D18" s="62">
        <f>SUM(D19:D22)</f>
        <v>2.031512537726281</v>
      </c>
      <c r="E18" s="62">
        <f t="shared" ref="E18" si="0">SUM(E19:E21)</f>
        <v>75457.779007999998</v>
      </c>
    </row>
    <row r="19" spans="1:5" ht="15.6" x14ac:dyDescent="0.3">
      <c r="A19" s="24" t="s">
        <v>18</v>
      </c>
      <c r="B19" s="8" t="s">
        <v>19</v>
      </c>
      <c r="C19" s="54">
        <f>E19/12</f>
        <v>4360.916666666667</v>
      </c>
      <c r="D19" s="54">
        <f>C19/C7</f>
        <v>1.3402946389238919</v>
      </c>
      <c r="E19" s="54">
        <v>52331</v>
      </c>
    </row>
    <row r="20" spans="1:5" ht="42" x14ac:dyDescent="0.3">
      <c r="A20" s="24" t="s">
        <v>20</v>
      </c>
      <c r="B20" s="13" t="s">
        <v>21</v>
      </c>
      <c r="C20" s="54">
        <f>D20*C7</f>
        <v>878.49900000000002</v>
      </c>
      <c r="D20" s="55">
        <v>0.27</v>
      </c>
      <c r="E20" s="54">
        <f>C20*12</f>
        <v>10541.988000000001</v>
      </c>
    </row>
    <row r="21" spans="1:5" ht="15.6" x14ac:dyDescent="0.3">
      <c r="A21" s="24" t="s">
        <v>22</v>
      </c>
      <c r="B21" s="8" t="s">
        <v>23</v>
      </c>
      <c r="C21" s="7">
        <f>D11*3.4%</f>
        <v>1048.7325840000001</v>
      </c>
      <c r="D21" s="7">
        <f>C21/C7</f>
        <v>0.32232000000000005</v>
      </c>
      <c r="E21" s="7">
        <f>C21*12</f>
        <v>12584.791008</v>
      </c>
    </row>
    <row r="22" spans="1:5" ht="15.6" x14ac:dyDescent="0.3">
      <c r="A22" s="24" t="s">
        <v>66</v>
      </c>
      <c r="B22" s="8" t="s">
        <v>67</v>
      </c>
      <c r="C22" s="7">
        <f>E22/12</f>
        <v>321.78409333333337</v>
      </c>
      <c r="D22" s="7">
        <f>C22/C7</f>
        <v>9.8897898802389098E-2</v>
      </c>
      <c r="E22" s="7">
        <f>C13*1%</f>
        <v>3861.4091200000003</v>
      </c>
    </row>
    <row r="23" spans="1:5" ht="18" x14ac:dyDescent="0.35">
      <c r="A23" s="25" t="s">
        <v>24</v>
      </c>
      <c r="B23" s="14" t="s">
        <v>25</v>
      </c>
      <c r="C23" s="21">
        <f>C24+C28+C34</f>
        <v>20656.794666666668</v>
      </c>
      <c r="D23" s="21">
        <f>D24+D28+D34</f>
        <v>6.9311639057073471</v>
      </c>
      <c r="E23" s="21">
        <f>E24+E28+E34</f>
        <v>247881.53599999996</v>
      </c>
    </row>
    <row r="24" spans="1:5" ht="17.399999999999999" x14ac:dyDescent="0.3">
      <c r="A24" s="26" t="s">
        <v>26</v>
      </c>
      <c r="B24" s="15" t="s">
        <v>27</v>
      </c>
      <c r="C24" s="22">
        <f>SUM(C25:C27)</f>
        <v>755.64766666666651</v>
      </c>
      <c r="D24" s="22">
        <f>SUM(D25:D27)</f>
        <v>0.23224257511960741</v>
      </c>
      <c r="E24" s="22">
        <f>SUM(E25:E27)</f>
        <v>9067.771999999999</v>
      </c>
    </row>
    <row r="25" spans="1:5" ht="15.6" x14ac:dyDescent="0.3">
      <c r="A25" s="57" t="s">
        <v>28</v>
      </c>
      <c r="B25" s="13" t="s">
        <v>61</v>
      </c>
      <c r="C25" s="7">
        <f>D25*C7</f>
        <v>585.66599999999994</v>
      </c>
      <c r="D25" s="2">
        <v>0.18</v>
      </c>
      <c r="E25" s="7">
        <f>C25*12</f>
        <v>7027.9919999999993</v>
      </c>
    </row>
    <row r="26" spans="1:5" ht="15.6" x14ac:dyDescent="0.3">
      <c r="A26" s="57" t="s">
        <v>29</v>
      </c>
      <c r="B26" s="2" t="s">
        <v>30</v>
      </c>
      <c r="C26" s="7">
        <f>D26*C7</f>
        <v>162.685</v>
      </c>
      <c r="D26" s="2">
        <v>0.05</v>
      </c>
      <c r="E26" s="7">
        <f>C26*12</f>
        <v>1952.22</v>
      </c>
    </row>
    <row r="27" spans="1:5" ht="15.6" x14ac:dyDescent="0.3">
      <c r="A27" s="57" t="s">
        <v>31</v>
      </c>
      <c r="B27" s="55" t="s">
        <v>57</v>
      </c>
      <c r="C27" s="54">
        <f>E27/12</f>
        <v>7.2966666666666669</v>
      </c>
      <c r="D27" s="56">
        <f>C27/C7</f>
        <v>2.2425751196074213E-3</v>
      </c>
      <c r="E27" s="55">
        <f>87.56*1</f>
        <v>87.56</v>
      </c>
    </row>
    <row r="28" spans="1:5" ht="17.399999999999999" x14ac:dyDescent="0.3">
      <c r="A28" s="65" t="s">
        <v>32</v>
      </c>
      <c r="B28" s="17" t="s">
        <v>33</v>
      </c>
      <c r="C28" s="22">
        <f>SUM(C29:C33)</f>
        <v>10614.397999999999</v>
      </c>
      <c r="D28" s="22">
        <f>SUM(D29:D33)</f>
        <v>3.2622546639210741</v>
      </c>
      <c r="E28" s="22">
        <f>SUM(E29:E33)</f>
        <v>127372.77599999998</v>
      </c>
    </row>
    <row r="29" spans="1:5" ht="15.6" x14ac:dyDescent="0.3">
      <c r="A29" s="57" t="s">
        <v>34</v>
      </c>
      <c r="B29" s="13" t="s">
        <v>62</v>
      </c>
      <c r="C29" s="7">
        <f>D29*C7</f>
        <v>5693.9749999999995</v>
      </c>
      <c r="D29" s="2">
        <v>1.75</v>
      </c>
      <c r="E29" s="7">
        <f>C29*12</f>
        <v>68327.7</v>
      </c>
    </row>
    <row r="30" spans="1:5" ht="15.6" x14ac:dyDescent="0.3">
      <c r="A30" s="57" t="s">
        <v>35</v>
      </c>
      <c r="B30" s="55" t="s">
        <v>36</v>
      </c>
      <c r="C30" s="55">
        <v>2350</v>
      </c>
      <c r="D30" s="54">
        <f>C30/C7</f>
        <v>0.72225466392107451</v>
      </c>
      <c r="E30" s="2">
        <f>C30*12</f>
        <v>28200</v>
      </c>
    </row>
    <row r="31" spans="1:5" ht="15.6" x14ac:dyDescent="0.3">
      <c r="A31" s="57" t="s">
        <v>37</v>
      </c>
      <c r="B31" s="2" t="s">
        <v>30</v>
      </c>
      <c r="C31" s="7">
        <f>D31*C7</f>
        <v>292.83299999999997</v>
      </c>
      <c r="D31" s="2">
        <v>0.09</v>
      </c>
      <c r="E31" s="7">
        <f>C31*12</f>
        <v>3513.9959999999996</v>
      </c>
    </row>
    <row r="32" spans="1:5" ht="15.6" x14ac:dyDescent="0.3">
      <c r="A32" s="57" t="s">
        <v>38</v>
      </c>
      <c r="B32" s="2" t="s">
        <v>40</v>
      </c>
      <c r="C32" s="7">
        <f>D32*C7</f>
        <v>97.61099999999999</v>
      </c>
      <c r="D32" s="2">
        <v>0.03</v>
      </c>
      <c r="E32" s="7">
        <f>C32*12</f>
        <v>1171.3319999999999</v>
      </c>
    </row>
    <row r="33" spans="1:5" ht="15.6" x14ac:dyDescent="0.3">
      <c r="A33" s="57" t="s">
        <v>39</v>
      </c>
      <c r="B33" s="2" t="s">
        <v>41</v>
      </c>
      <c r="C33" s="7">
        <f>D33*C7</f>
        <v>2179.9789999999998</v>
      </c>
      <c r="D33" s="2">
        <v>0.67</v>
      </c>
      <c r="E33" s="7">
        <f>C33*12</f>
        <v>26159.748</v>
      </c>
    </row>
    <row r="34" spans="1:5" ht="31.2" x14ac:dyDescent="0.3">
      <c r="A34" s="65" t="s">
        <v>42</v>
      </c>
      <c r="B34" s="18" t="s">
        <v>43</v>
      </c>
      <c r="C34" s="22">
        <f>SUM(C35:C40)</f>
        <v>9286.7490000000016</v>
      </c>
      <c r="D34" s="22">
        <f>SUM(D35:D40)</f>
        <v>3.4366666666666661</v>
      </c>
      <c r="E34" s="22">
        <f>SUM(E35:E40)</f>
        <v>111440.988</v>
      </c>
    </row>
    <row r="35" spans="1:5" ht="27" x14ac:dyDescent="0.3">
      <c r="A35" s="57" t="s">
        <v>44</v>
      </c>
      <c r="B35" s="12" t="s">
        <v>73</v>
      </c>
      <c r="C35" s="7">
        <f>D35*C7</f>
        <v>8231.860999999999</v>
      </c>
      <c r="D35" s="2">
        <v>2.5299999999999998</v>
      </c>
      <c r="E35" s="7">
        <f>C35*12</f>
        <v>98782.331999999995</v>
      </c>
    </row>
    <row r="36" spans="1:5" ht="15.6" x14ac:dyDescent="0.3">
      <c r="A36" s="57" t="s">
        <v>46</v>
      </c>
      <c r="B36" s="58" t="s">
        <v>45</v>
      </c>
      <c r="C36" s="54">
        <f>D36*C7</f>
        <v>292.83299999999997</v>
      </c>
      <c r="D36" s="55">
        <v>0.09</v>
      </c>
      <c r="E36" s="54">
        <f t="shared" ref="E36:E40" si="1">C36*12</f>
        <v>3513.9959999999996</v>
      </c>
    </row>
    <row r="37" spans="1:5" ht="15.6" x14ac:dyDescent="0.3">
      <c r="A37" s="57" t="s">
        <v>47</v>
      </c>
      <c r="B37" s="55" t="s">
        <v>48</v>
      </c>
      <c r="C37" s="54">
        <f>D37*C7</f>
        <v>65.073999999999998</v>
      </c>
      <c r="D37" s="55">
        <v>0.02</v>
      </c>
      <c r="E37" s="54">
        <f t="shared" si="1"/>
        <v>780.88799999999992</v>
      </c>
    </row>
    <row r="38" spans="1:5" ht="15.6" x14ac:dyDescent="0.3">
      <c r="A38" s="57" t="s">
        <v>49</v>
      </c>
      <c r="B38" s="55" t="s">
        <v>50</v>
      </c>
      <c r="C38" s="54">
        <f>D38*C7</f>
        <v>97.61099999999999</v>
      </c>
      <c r="D38" s="55">
        <v>0.03</v>
      </c>
      <c r="E38" s="54">
        <f t="shared" si="1"/>
        <v>1171.3319999999999</v>
      </c>
    </row>
    <row r="39" spans="1:5" ht="15.6" x14ac:dyDescent="0.3">
      <c r="A39" s="57" t="s">
        <v>51</v>
      </c>
      <c r="B39" s="55" t="s">
        <v>52</v>
      </c>
      <c r="C39" s="59">
        <f>E39/12</f>
        <v>274</v>
      </c>
      <c r="D39" s="59">
        <f>C39/C8</f>
        <v>0.66666666666666663</v>
      </c>
      <c r="E39" s="59">
        <f>C8*4*2</f>
        <v>3288</v>
      </c>
    </row>
    <row r="40" spans="1:5" ht="15.6" x14ac:dyDescent="0.3">
      <c r="A40" s="57" t="s">
        <v>53</v>
      </c>
      <c r="B40" s="2" t="s">
        <v>30</v>
      </c>
      <c r="C40" s="7">
        <f>D40*C7</f>
        <v>325.37</v>
      </c>
      <c r="D40" s="2">
        <v>0.1</v>
      </c>
      <c r="E40" s="7">
        <f t="shared" si="1"/>
        <v>3904.44</v>
      </c>
    </row>
    <row r="41" spans="1:5" ht="17.399999999999999" x14ac:dyDescent="0.3">
      <c r="A41" s="26" t="s">
        <v>68</v>
      </c>
      <c r="B41" s="16" t="s">
        <v>59</v>
      </c>
      <c r="C41" s="22">
        <f>D41*C7</f>
        <v>-2757.4048319999947</v>
      </c>
      <c r="D41" s="22">
        <f>C9-D16-D23</f>
        <v>-0.84746744690659703</v>
      </c>
      <c r="E41" s="22">
        <f>C41*12</f>
        <v>-33088.857983999937</v>
      </c>
    </row>
    <row r="42" spans="1:5" ht="15.6" x14ac:dyDescent="0.3">
      <c r="A42" s="84" t="s">
        <v>77</v>
      </c>
      <c r="B42" s="71" t="s">
        <v>175</v>
      </c>
      <c r="C42" s="53">
        <f>E42/12</f>
        <v>2305.4166666666665</v>
      </c>
      <c r="D42" s="53">
        <f>C42/C7</f>
        <v>0.708552314800586</v>
      </c>
      <c r="E42" s="71">
        <v>27665</v>
      </c>
    </row>
    <row r="43" spans="1:5" ht="15.6" x14ac:dyDescent="0.3">
      <c r="A43" s="24" t="s">
        <v>79</v>
      </c>
      <c r="B43" s="2" t="s">
        <v>168</v>
      </c>
      <c r="C43" s="7">
        <f>E43/12</f>
        <v>1262.8141666666668</v>
      </c>
      <c r="D43" s="7">
        <f>C43/C7</f>
        <v>0.3881163495917469</v>
      </c>
      <c r="E43" s="55">
        <v>15153.77</v>
      </c>
    </row>
    <row r="44" spans="1:5" ht="31.2" x14ac:dyDescent="0.3">
      <c r="A44" s="85" t="s">
        <v>80</v>
      </c>
      <c r="B44" s="86" t="s">
        <v>153</v>
      </c>
      <c r="C44" s="87">
        <f>E44/12</f>
        <v>2500</v>
      </c>
      <c r="D44" s="87">
        <f>C44/C7</f>
        <v>0.76835602544795156</v>
      </c>
      <c r="E44" s="88">
        <v>30000</v>
      </c>
    </row>
    <row r="45" spans="1:5" ht="15.6" x14ac:dyDescent="0.3">
      <c r="A45" s="24" t="s">
        <v>81</v>
      </c>
      <c r="B45" s="2"/>
      <c r="C45" s="7">
        <f>E45/12</f>
        <v>0</v>
      </c>
      <c r="D45" s="7">
        <f>C45/C7</f>
        <v>0</v>
      </c>
      <c r="E45" s="36"/>
    </row>
    <row r="46" spans="1:5" ht="15.6" x14ac:dyDescent="0.3">
      <c r="A46" s="24" t="s">
        <v>82</v>
      </c>
      <c r="B46" s="2"/>
      <c r="C46" s="7">
        <f>E46/12</f>
        <v>0</v>
      </c>
      <c r="D46" s="7">
        <f>C46/C7</f>
        <v>0</v>
      </c>
      <c r="E46" s="36"/>
    </row>
    <row r="47" spans="1:5" ht="15.6" x14ac:dyDescent="0.3">
      <c r="A47" s="24" t="s">
        <v>83</v>
      </c>
      <c r="B47" s="2"/>
      <c r="C47" s="7">
        <f t="shared" ref="C47:C50" si="2">E47/12</f>
        <v>0</v>
      </c>
      <c r="D47" s="7">
        <f>C47/C7</f>
        <v>0</v>
      </c>
      <c r="E47" s="36"/>
    </row>
    <row r="48" spans="1:5" ht="15.6" x14ac:dyDescent="0.3">
      <c r="A48" s="24" t="s">
        <v>132</v>
      </c>
      <c r="B48" s="2"/>
      <c r="C48" s="7">
        <f t="shared" si="2"/>
        <v>0</v>
      </c>
      <c r="D48" s="7">
        <f>C48/C7</f>
        <v>0</v>
      </c>
      <c r="E48" s="36"/>
    </row>
    <row r="49" spans="1:5" ht="15.6" x14ac:dyDescent="0.3">
      <c r="A49" s="38" t="s">
        <v>133</v>
      </c>
      <c r="B49" s="2"/>
      <c r="C49" s="7">
        <f t="shared" si="2"/>
        <v>0</v>
      </c>
      <c r="D49" s="7">
        <f>C49/C7</f>
        <v>0</v>
      </c>
      <c r="E49" s="36"/>
    </row>
    <row r="50" spans="1:5" ht="15.6" x14ac:dyDescent="0.3">
      <c r="A50" s="24" t="s">
        <v>134</v>
      </c>
      <c r="B50" s="2"/>
      <c r="C50" s="7">
        <f t="shared" si="2"/>
        <v>0</v>
      </c>
      <c r="D50" s="7">
        <f>C50/C7</f>
        <v>0</v>
      </c>
      <c r="E50" s="36"/>
    </row>
    <row r="51" spans="1:5" ht="15.6" x14ac:dyDescent="0.3">
      <c r="A51" s="24"/>
      <c r="B51" s="2"/>
      <c r="C51" s="7"/>
      <c r="D51" s="7"/>
      <c r="E51" s="36"/>
    </row>
    <row r="52" spans="1:5" ht="15.6" x14ac:dyDescent="0.3">
      <c r="A52" s="24"/>
      <c r="B52" s="2"/>
      <c r="C52" s="7"/>
      <c r="D52" s="7"/>
      <c r="E52" s="36"/>
    </row>
    <row r="53" spans="1:5" ht="15.6" x14ac:dyDescent="0.3">
      <c r="A53" s="24"/>
      <c r="B53" s="2"/>
      <c r="C53" s="7"/>
      <c r="D53" s="7"/>
      <c r="E53" s="36"/>
    </row>
    <row r="54" spans="1:5" ht="15.6" x14ac:dyDescent="0.3">
      <c r="A54" s="24"/>
      <c r="B54" s="2"/>
      <c r="C54" s="7"/>
      <c r="D54" s="7"/>
      <c r="E54" s="36"/>
    </row>
    <row r="55" spans="1:5" ht="15.6" x14ac:dyDescent="0.3">
      <c r="A55" s="24"/>
      <c r="B55" s="2"/>
      <c r="C55" s="7"/>
      <c r="D55" s="7"/>
      <c r="E55" s="36"/>
    </row>
    <row r="56" spans="1:5" ht="15.6" x14ac:dyDescent="0.3">
      <c r="A56" s="24"/>
      <c r="B56" s="40" t="s">
        <v>70</v>
      </c>
      <c r="C56" s="41">
        <f>SUM(C42:C55)</f>
        <v>6068.2308333333331</v>
      </c>
      <c r="D56" s="41">
        <f>SUM(D42:D55)</f>
        <v>1.8650246898402845</v>
      </c>
      <c r="E56" s="40">
        <f>SUM(E42:E55)</f>
        <v>72818.77</v>
      </c>
    </row>
    <row r="57" spans="1:5" ht="15.6" x14ac:dyDescent="0.3">
      <c r="A57" s="31"/>
      <c r="B57" s="32" t="s">
        <v>60</v>
      </c>
      <c r="C57" s="30">
        <f>D57*C7</f>
        <v>30845.076000000001</v>
      </c>
      <c r="D57" s="30">
        <f>D41+D23+D16</f>
        <v>9.48</v>
      </c>
      <c r="E57" s="30">
        <f>C57*12</f>
        <v>370140.91200000001</v>
      </c>
    </row>
    <row r="58" spans="1:5" ht="15.6" x14ac:dyDescent="0.3">
      <c r="A58" s="31" t="s">
        <v>69</v>
      </c>
      <c r="B58" s="16" t="s">
        <v>65</v>
      </c>
      <c r="C58" s="16">
        <f>D58*C7</f>
        <v>1333.3333333333333</v>
      </c>
      <c r="D58" s="22">
        <f>C10/C7/12</f>
        <v>0.4097898802389075</v>
      </c>
      <c r="E58" s="16">
        <f>C58*12</f>
        <v>16000</v>
      </c>
    </row>
    <row r="59" spans="1:5" ht="15.6" x14ac:dyDescent="0.3">
      <c r="A59" s="24" t="s">
        <v>74</v>
      </c>
      <c r="B59" s="55" t="s">
        <v>72</v>
      </c>
      <c r="C59" s="76">
        <f>E59/12</f>
        <v>1333.3333333333333</v>
      </c>
      <c r="D59" s="54">
        <f>C59/C7</f>
        <v>0.4097898802389075</v>
      </c>
      <c r="E59" s="55">
        <v>16000</v>
      </c>
    </row>
    <row r="60" spans="1:5" ht="15.6" x14ac:dyDescent="0.3">
      <c r="A60" s="24" t="s">
        <v>75</v>
      </c>
      <c r="B60" s="55"/>
      <c r="C60" s="76"/>
      <c r="D60" s="54"/>
      <c r="E60" s="55"/>
    </row>
    <row r="61" spans="1:5" ht="15.6" x14ac:dyDescent="0.3">
      <c r="A61" s="24"/>
      <c r="B61" s="55"/>
      <c r="C61" s="76"/>
      <c r="D61" s="54"/>
      <c r="E61" s="55"/>
    </row>
    <row r="62" spans="1:5" ht="15.6" x14ac:dyDescent="0.3">
      <c r="A62" s="4"/>
      <c r="B62" s="2"/>
      <c r="C62" s="39"/>
      <c r="D62" s="7"/>
      <c r="E62" s="55"/>
    </row>
    <row r="63" spans="1:5" ht="15.6" x14ac:dyDescent="0.3">
      <c r="A63" s="4"/>
      <c r="B63" s="42" t="s">
        <v>70</v>
      </c>
      <c r="C63" s="42"/>
      <c r="D63" s="43">
        <f>SUM(D59:D62)</f>
        <v>0.4097898802389075</v>
      </c>
      <c r="E63" s="42"/>
    </row>
    <row r="64" spans="1:5" x14ac:dyDescent="0.3">
      <c r="A64" s="119" t="s">
        <v>166</v>
      </c>
      <c r="B64" s="120"/>
      <c r="C64" s="120"/>
      <c r="D64" s="120"/>
      <c r="E64" s="121"/>
    </row>
    <row r="65" spans="1:5" x14ac:dyDescent="0.3">
      <c r="A65" s="122"/>
      <c r="B65" s="123"/>
      <c r="C65" s="123"/>
      <c r="D65" s="123"/>
      <c r="E65" s="124"/>
    </row>
    <row r="66" spans="1:5" x14ac:dyDescent="0.3">
      <c r="A66" s="122"/>
      <c r="B66" s="123"/>
      <c r="C66" s="123"/>
      <c r="D66" s="123"/>
      <c r="E66" s="124"/>
    </row>
    <row r="67" spans="1:5" x14ac:dyDescent="0.3">
      <c r="A67" s="125"/>
      <c r="B67" s="126"/>
      <c r="C67" s="126"/>
      <c r="D67" s="126"/>
      <c r="E67" s="127"/>
    </row>
    <row r="68" spans="1:5" ht="45" customHeight="1" x14ac:dyDescent="0.3">
      <c r="A68" s="114" t="s">
        <v>167</v>
      </c>
      <c r="B68" s="115"/>
      <c r="C68" s="3"/>
      <c r="D68" s="3"/>
      <c r="E68" s="3"/>
    </row>
  </sheetData>
  <mergeCells count="18">
    <mergeCell ref="A10:B10"/>
    <mergeCell ref="C10:E10"/>
    <mergeCell ref="A64:E67"/>
    <mergeCell ref="A68:B68"/>
    <mergeCell ref="A7:B7"/>
    <mergeCell ref="C7:E7"/>
    <mergeCell ref="A13:B13"/>
    <mergeCell ref="C13:E13"/>
    <mergeCell ref="A14:E14"/>
    <mergeCell ref="A8:B8"/>
    <mergeCell ref="C8:E8"/>
    <mergeCell ref="A9:B9"/>
    <mergeCell ref="C9:E9"/>
    <mergeCell ref="A2:E4"/>
    <mergeCell ref="A5:B5"/>
    <mergeCell ref="C5:E5"/>
    <mergeCell ref="A6:B6"/>
    <mergeCell ref="C6:E6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7"/>
  <sheetViews>
    <sheetView topLeftCell="A43" workbookViewId="0">
      <selection activeCell="H67" sqref="H67"/>
    </sheetView>
  </sheetViews>
  <sheetFormatPr defaultRowHeight="13.8" x14ac:dyDescent="0.3"/>
  <cols>
    <col min="1" max="1" width="8.5546875" style="29" customWidth="1"/>
    <col min="2" max="2" width="51.88671875" customWidth="1"/>
    <col min="3" max="3" width="11.6640625" customWidth="1"/>
    <col min="4" max="4" width="11.88671875" customWidth="1"/>
    <col min="5" max="5" width="12.33203125" customWidth="1"/>
  </cols>
  <sheetData>
    <row r="2" spans="1:5" x14ac:dyDescent="0.3">
      <c r="A2" s="102" t="s">
        <v>102</v>
      </c>
      <c r="B2" s="102"/>
      <c r="C2" s="102"/>
      <c r="D2" s="102"/>
      <c r="E2" s="102"/>
    </row>
    <row r="3" spans="1:5" x14ac:dyDescent="0.3">
      <c r="A3" s="102"/>
      <c r="B3" s="102"/>
      <c r="C3" s="102"/>
      <c r="D3" s="102"/>
      <c r="E3" s="102"/>
    </row>
    <row r="4" spans="1:5" x14ac:dyDescent="0.3">
      <c r="A4" s="103"/>
      <c r="B4" s="103"/>
      <c r="C4" s="103"/>
      <c r="D4" s="103"/>
      <c r="E4" s="103"/>
    </row>
    <row r="5" spans="1:5" ht="15.6" x14ac:dyDescent="0.3">
      <c r="A5" s="97" t="s">
        <v>0</v>
      </c>
      <c r="B5" s="98"/>
      <c r="C5" s="97" t="s">
        <v>1</v>
      </c>
      <c r="D5" s="104"/>
      <c r="E5" s="98"/>
    </row>
    <row r="6" spans="1:5" ht="15.6" x14ac:dyDescent="0.3">
      <c r="A6" s="97" t="s">
        <v>2</v>
      </c>
      <c r="B6" s="98"/>
      <c r="C6" s="133">
        <v>1</v>
      </c>
      <c r="D6" s="134"/>
      <c r="E6" s="135"/>
    </row>
    <row r="7" spans="1:5" ht="15.6" x14ac:dyDescent="0.3">
      <c r="A7" s="97" t="s">
        <v>3</v>
      </c>
      <c r="B7" s="98"/>
      <c r="C7" s="133">
        <v>3254.9</v>
      </c>
      <c r="D7" s="134"/>
      <c r="E7" s="135"/>
    </row>
    <row r="8" spans="1:5" ht="15.6" x14ac:dyDescent="0.3">
      <c r="A8" s="97" t="s">
        <v>4</v>
      </c>
      <c r="B8" s="98"/>
      <c r="C8" s="133">
        <v>411</v>
      </c>
      <c r="D8" s="134"/>
      <c r="E8" s="135"/>
    </row>
    <row r="9" spans="1:5" ht="15.6" x14ac:dyDescent="0.3">
      <c r="A9" s="97" t="s">
        <v>5</v>
      </c>
      <c r="B9" s="98"/>
      <c r="C9" s="133">
        <v>11</v>
      </c>
      <c r="D9" s="134"/>
      <c r="E9" s="135"/>
    </row>
    <row r="10" spans="1:5" ht="15.6" x14ac:dyDescent="0.3">
      <c r="A10" s="97" t="s">
        <v>6</v>
      </c>
      <c r="B10" s="98"/>
      <c r="C10" s="133">
        <v>16000</v>
      </c>
      <c r="D10" s="134"/>
      <c r="E10" s="135"/>
    </row>
    <row r="11" spans="1:5" ht="15.6" x14ac:dyDescent="0.3">
      <c r="A11" s="50"/>
      <c r="B11" s="51" t="s">
        <v>56</v>
      </c>
      <c r="C11" s="50"/>
      <c r="D11" s="52">
        <f>C7*C9</f>
        <v>35803.9</v>
      </c>
      <c r="E11" s="51"/>
    </row>
    <row r="12" spans="1:5" ht="15.6" x14ac:dyDescent="0.3">
      <c r="A12" s="50"/>
      <c r="B12" s="51" t="s">
        <v>64</v>
      </c>
      <c r="C12" s="50"/>
      <c r="D12" s="70">
        <f>D11+(C10/12)</f>
        <v>37137.233333333337</v>
      </c>
      <c r="E12" s="51"/>
    </row>
    <row r="13" spans="1:5" ht="15.6" x14ac:dyDescent="0.3">
      <c r="A13" s="97" t="s">
        <v>7</v>
      </c>
      <c r="B13" s="98"/>
      <c r="C13" s="97">
        <f>(C7*C9*12)+C10</f>
        <v>445646.80000000005</v>
      </c>
      <c r="D13" s="104"/>
      <c r="E13" s="98"/>
    </row>
    <row r="14" spans="1:5" ht="15.6" x14ac:dyDescent="0.3">
      <c r="A14" s="97" t="s">
        <v>8</v>
      </c>
      <c r="B14" s="104"/>
      <c r="C14" s="104"/>
      <c r="D14" s="104"/>
      <c r="E14" s="98"/>
    </row>
    <row r="15" spans="1:5" ht="46.8" x14ac:dyDescent="0.3">
      <c r="A15" s="4"/>
      <c r="B15" s="10" t="s">
        <v>12</v>
      </c>
      <c r="C15" s="10" t="s">
        <v>13</v>
      </c>
      <c r="D15" s="11" t="s">
        <v>14</v>
      </c>
      <c r="E15" s="10" t="s">
        <v>15</v>
      </c>
    </row>
    <row r="16" spans="1:5" ht="18" x14ac:dyDescent="0.35">
      <c r="A16" s="23">
        <v>1</v>
      </c>
      <c r="B16" s="14" t="s">
        <v>9</v>
      </c>
      <c r="C16" s="21">
        <f>C17+C18</f>
        <v>10452.427133333334</v>
      </c>
      <c r="D16" s="21">
        <f>D17+D18</f>
        <v>3.325386176738661</v>
      </c>
      <c r="E16" s="21">
        <f>E17+E18</f>
        <v>125429.12560000001</v>
      </c>
    </row>
    <row r="17" spans="1:5" ht="15.6" x14ac:dyDescent="0.3">
      <c r="A17" s="24" t="s">
        <v>10</v>
      </c>
      <c r="B17" s="8" t="s">
        <v>11</v>
      </c>
      <c r="C17" s="54">
        <f>(D11*13.8%)+(C10*13.8%/12)</f>
        <v>5124.9382000000005</v>
      </c>
      <c r="D17" s="54">
        <f>C17/C7</f>
        <v>1.5745301545362378</v>
      </c>
      <c r="E17" s="54">
        <f>C17*12</f>
        <v>61499.258400000006</v>
      </c>
    </row>
    <row r="18" spans="1:5" ht="15.6" x14ac:dyDescent="0.3">
      <c r="A18" s="4" t="s">
        <v>16</v>
      </c>
      <c r="B18" s="8" t="s">
        <v>17</v>
      </c>
      <c r="C18" s="62">
        <f>SUM(C19:C21)</f>
        <v>5327.488933333334</v>
      </c>
      <c r="D18" s="62">
        <f>SUM(D19:D22)</f>
        <v>1.7508560222024232</v>
      </c>
      <c r="E18" s="62">
        <f t="shared" ref="E18" si="0">SUM(E19:E21)</f>
        <v>63929.867200000008</v>
      </c>
    </row>
    <row r="19" spans="1:5" ht="15.6" x14ac:dyDescent="0.3">
      <c r="A19" s="24" t="s">
        <v>18</v>
      </c>
      <c r="B19" s="8" t="s">
        <v>19</v>
      </c>
      <c r="C19" s="54">
        <f>E19/12</f>
        <v>3231.3333333333335</v>
      </c>
      <c r="D19" s="54">
        <f>C19/C7</f>
        <v>0.99275963419255076</v>
      </c>
      <c r="E19" s="54">
        <v>38776</v>
      </c>
    </row>
    <row r="20" spans="1:5" ht="42" x14ac:dyDescent="0.3">
      <c r="A20" s="24" t="s">
        <v>20</v>
      </c>
      <c r="B20" s="13" t="s">
        <v>21</v>
      </c>
      <c r="C20" s="54">
        <f>D20*C7</f>
        <v>878.82300000000009</v>
      </c>
      <c r="D20" s="55">
        <v>0.27</v>
      </c>
      <c r="E20" s="54">
        <f>C20*12</f>
        <v>10545.876</v>
      </c>
    </row>
    <row r="21" spans="1:5" ht="15.6" x14ac:dyDescent="0.3">
      <c r="A21" s="24" t="s">
        <v>22</v>
      </c>
      <c r="B21" s="8" t="s">
        <v>23</v>
      </c>
      <c r="C21" s="7">
        <f>D11*3.4%</f>
        <v>1217.3326000000002</v>
      </c>
      <c r="D21" s="7">
        <f>C21/C7</f>
        <v>0.37400000000000005</v>
      </c>
      <c r="E21" s="7">
        <f>C21*12</f>
        <v>14607.991200000002</v>
      </c>
    </row>
    <row r="22" spans="1:5" ht="15.6" x14ac:dyDescent="0.3">
      <c r="A22" s="24" t="s">
        <v>66</v>
      </c>
      <c r="B22" s="8" t="s">
        <v>67</v>
      </c>
      <c r="C22" s="7">
        <f>E22/12</f>
        <v>371.37233333333342</v>
      </c>
      <c r="D22" s="7">
        <f>C22/C7</f>
        <v>0.11409638800987232</v>
      </c>
      <c r="E22" s="7">
        <f>C13*1%</f>
        <v>4456.4680000000008</v>
      </c>
    </row>
    <row r="23" spans="1:5" ht="18" x14ac:dyDescent="0.35">
      <c r="A23" s="25" t="s">
        <v>24</v>
      </c>
      <c r="B23" s="14" t="s">
        <v>25</v>
      </c>
      <c r="C23" s="21">
        <f>C24+C28+C34</f>
        <v>20663.442666666666</v>
      </c>
      <c r="D23" s="21">
        <f>D24+D28+D34</f>
        <v>6.3484109086812692</v>
      </c>
      <c r="E23" s="21">
        <f>E24+E28+E34</f>
        <v>247961.31199999998</v>
      </c>
    </row>
    <row r="24" spans="1:5" ht="17.399999999999999" x14ac:dyDescent="0.3">
      <c r="A24" s="26" t="s">
        <v>26</v>
      </c>
      <c r="B24" s="15" t="s">
        <v>27</v>
      </c>
      <c r="C24" s="22">
        <f>SUM(C25:C27)</f>
        <v>755.92366666666658</v>
      </c>
      <c r="D24" s="22">
        <f>SUM(D25:D27)</f>
        <v>0.23224174833840261</v>
      </c>
      <c r="E24" s="22">
        <f>SUM(E25:E27)</f>
        <v>9071.0839999999989</v>
      </c>
    </row>
    <row r="25" spans="1:5" ht="15.6" x14ac:dyDescent="0.3">
      <c r="A25" s="24" t="s">
        <v>28</v>
      </c>
      <c r="B25" s="13" t="s">
        <v>61</v>
      </c>
      <c r="C25" s="7">
        <f>D25*C7</f>
        <v>585.88199999999995</v>
      </c>
      <c r="D25" s="2">
        <v>0.18</v>
      </c>
      <c r="E25" s="7">
        <f>C25*12</f>
        <v>7030.5839999999989</v>
      </c>
    </row>
    <row r="26" spans="1:5" ht="15.6" x14ac:dyDescent="0.3">
      <c r="A26" s="24" t="s">
        <v>29</v>
      </c>
      <c r="B26" s="2" t="s">
        <v>30</v>
      </c>
      <c r="C26" s="7">
        <f>D26*C7</f>
        <v>162.745</v>
      </c>
      <c r="D26" s="2">
        <v>0.05</v>
      </c>
      <c r="E26" s="7">
        <f>C26*12</f>
        <v>1952.94</v>
      </c>
    </row>
    <row r="27" spans="1:5" ht="15.6" x14ac:dyDescent="0.3">
      <c r="A27" s="57" t="s">
        <v>31</v>
      </c>
      <c r="B27" s="55" t="s">
        <v>57</v>
      </c>
      <c r="C27" s="54">
        <f>E27/12</f>
        <v>7.2966666666666669</v>
      </c>
      <c r="D27" s="56">
        <f>C27/C7</f>
        <v>2.2417483384026137E-3</v>
      </c>
      <c r="E27" s="55">
        <f>87.56*1</f>
        <v>87.56</v>
      </c>
    </row>
    <row r="28" spans="1:5" ht="17.399999999999999" x14ac:dyDescent="0.3">
      <c r="A28" s="65" t="s">
        <v>32</v>
      </c>
      <c r="B28" s="17" t="s">
        <v>33</v>
      </c>
      <c r="C28" s="22">
        <f>SUM(C29:C33)</f>
        <v>10617.446</v>
      </c>
      <c r="D28" s="22">
        <f>SUM(D29:D33)</f>
        <v>3.2619883867399917</v>
      </c>
      <c r="E28" s="22">
        <f>SUM(E29:E33)</f>
        <v>127409.352</v>
      </c>
    </row>
    <row r="29" spans="1:5" ht="15.6" x14ac:dyDescent="0.3">
      <c r="A29" s="57" t="s">
        <v>34</v>
      </c>
      <c r="B29" s="13" t="s">
        <v>62</v>
      </c>
      <c r="C29" s="7">
        <f>D29*C7</f>
        <v>5696.0749999999998</v>
      </c>
      <c r="D29" s="2">
        <v>1.75</v>
      </c>
      <c r="E29" s="7">
        <f>C29*12</f>
        <v>68352.899999999994</v>
      </c>
    </row>
    <row r="30" spans="1:5" ht="15.6" x14ac:dyDescent="0.3">
      <c r="A30" s="57" t="s">
        <v>35</v>
      </c>
      <c r="B30" s="55" t="s">
        <v>36</v>
      </c>
      <c r="C30" s="55">
        <v>2350</v>
      </c>
      <c r="D30" s="7">
        <f>C30/C7</f>
        <v>0.72198838673999199</v>
      </c>
      <c r="E30" s="2">
        <f>C30*12</f>
        <v>28200</v>
      </c>
    </row>
    <row r="31" spans="1:5" ht="15.6" x14ac:dyDescent="0.3">
      <c r="A31" s="57" t="s">
        <v>37</v>
      </c>
      <c r="B31" s="2" t="s">
        <v>30</v>
      </c>
      <c r="C31" s="7">
        <f>D31*C7</f>
        <v>292.94099999999997</v>
      </c>
      <c r="D31" s="2">
        <v>0.09</v>
      </c>
      <c r="E31" s="7">
        <f>C31*12</f>
        <v>3515.2919999999995</v>
      </c>
    </row>
    <row r="32" spans="1:5" ht="15.6" x14ac:dyDescent="0.3">
      <c r="A32" s="57" t="s">
        <v>38</v>
      </c>
      <c r="B32" s="2" t="s">
        <v>40</v>
      </c>
      <c r="C32" s="7">
        <f>D32*C7</f>
        <v>97.647000000000006</v>
      </c>
      <c r="D32" s="2">
        <v>0.03</v>
      </c>
      <c r="E32" s="7">
        <f>C32*12</f>
        <v>1171.7640000000001</v>
      </c>
    </row>
    <row r="33" spans="1:5" ht="15.6" x14ac:dyDescent="0.3">
      <c r="A33" s="57" t="s">
        <v>39</v>
      </c>
      <c r="B33" s="2" t="s">
        <v>41</v>
      </c>
      <c r="C33" s="7">
        <f>D33*C7</f>
        <v>2180.7830000000004</v>
      </c>
      <c r="D33" s="2">
        <v>0.67</v>
      </c>
      <c r="E33" s="7">
        <f>C33*12</f>
        <v>26169.396000000004</v>
      </c>
    </row>
    <row r="34" spans="1:5" ht="31.2" x14ac:dyDescent="0.3">
      <c r="A34" s="65" t="s">
        <v>42</v>
      </c>
      <c r="B34" s="18" t="s">
        <v>43</v>
      </c>
      <c r="C34" s="22">
        <f>SUM(C35:C40)</f>
        <v>9290.0730000000003</v>
      </c>
      <c r="D34" s="22">
        <f>SUM(D35:D40)</f>
        <v>2.854180773602875</v>
      </c>
      <c r="E34" s="22">
        <f>SUM(E35:E40)</f>
        <v>111480.876</v>
      </c>
    </row>
    <row r="35" spans="1:5" ht="27" x14ac:dyDescent="0.3">
      <c r="A35" s="57" t="s">
        <v>44</v>
      </c>
      <c r="B35" s="12" t="s">
        <v>73</v>
      </c>
      <c r="C35" s="7">
        <f>D35*C7</f>
        <v>8234.896999999999</v>
      </c>
      <c r="D35" s="2">
        <v>2.5299999999999998</v>
      </c>
      <c r="E35" s="7">
        <f>C35*12</f>
        <v>98818.763999999996</v>
      </c>
    </row>
    <row r="36" spans="1:5" ht="15.6" x14ac:dyDescent="0.3">
      <c r="A36" s="57" t="s">
        <v>46</v>
      </c>
      <c r="B36" s="58" t="s">
        <v>45</v>
      </c>
      <c r="C36" s="54">
        <f>D36*C7</f>
        <v>292.94099999999997</v>
      </c>
      <c r="D36" s="55">
        <v>0.09</v>
      </c>
      <c r="E36" s="54">
        <f t="shared" ref="E36:E40" si="1">C36*12</f>
        <v>3515.2919999999995</v>
      </c>
    </row>
    <row r="37" spans="1:5" ht="15.6" x14ac:dyDescent="0.3">
      <c r="A37" s="57" t="s">
        <v>47</v>
      </c>
      <c r="B37" s="55" t="s">
        <v>48</v>
      </c>
      <c r="C37" s="54">
        <f>D37*C7</f>
        <v>65.097999999999999</v>
      </c>
      <c r="D37" s="55">
        <v>0.02</v>
      </c>
      <c r="E37" s="54">
        <f t="shared" si="1"/>
        <v>781.17599999999993</v>
      </c>
    </row>
    <row r="38" spans="1:5" ht="15.6" x14ac:dyDescent="0.3">
      <c r="A38" s="57" t="s">
        <v>49</v>
      </c>
      <c r="B38" s="55" t="s">
        <v>50</v>
      </c>
      <c r="C38" s="54">
        <f>D38*C7</f>
        <v>97.647000000000006</v>
      </c>
      <c r="D38" s="55">
        <v>0.03</v>
      </c>
      <c r="E38" s="54">
        <f t="shared" si="1"/>
        <v>1171.7640000000001</v>
      </c>
    </row>
    <row r="39" spans="1:5" ht="15.6" x14ac:dyDescent="0.3">
      <c r="A39" s="57" t="s">
        <v>51</v>
      </c>
      <c r="B39" s="55" t="s">
        <v>52</v>
      </c>
      <c r="C39" s="59">
        <f>E39/12</f>
        <v>274</v>
      </c>
      <c r="D39" s="59">
        <f>C39/C7</f>
        <v>8.4180773602875666E-2</v>
      </c>
      <c r="E39" s="59">
        <f>C8*4*2</f>
        <v>3288</v>
      </c>
    </row>
    <row r="40" spans="1:5" ht="15.6" x14ac:dyDescent="0.3">
      <c r="A40" s="24" t="s">
        <v>53</v>
      </c>
      <c r="B40" s="55" t="s">
        <v>30</v>
      </c>
      <c r="C40" s="54">
        <f>D40*C7</f>
        <v>325.49</v>
      </c>
      <c r="D40" s="55">
        <v>0.1</v>
      </c>
      <c r="E40" s="54">
        <f t="shared" si="1"/>
        <v>3905.88</v>
      </c>
    </row>
    <row r="41" spans="1:5" ht="17.399999999999999" x14ac:dyDescent="0.3">
      <c r="A41" s="26" t="s">
        <v>68</v>
      </c>
      <c r="B41" s="16" t="s">
        <v>59</v>
      </c>
      <c r="C41" s="22">
        <f>D41*C7</f>
        <v>4316.6578666666692</v>
      </c>
      <c r="D41" s="22">
        <f>C9-D16-D23</f>
        <v>1.3262029145800698</v>
      </c>
      <c r="E41" s="22">
        <f>C41*12</f>
        <v>51799.894400000034</v>
      </c>
    </row>
    <row r="42" spans="1:5" ht="15.6" x14ac:dyDescent="0.3">
      <c r="A42" s="24" t="s">
        <v>77</v>
      </c>
      <c r="B42" s="2" t="s">
        <v>78</v>
      </c>
      <c r="C42" s="7">
        <f>E42/12</f>
        <v>553.84333333333336</v>
      </c>
      <c r="D42" s="7">
        <f>C42/C7</f>
        <v>0.17015678925107786</v>
      </c>
      <c r="E42" s="55">
        <v>6646.12</v>
      </c>
    </row>
    <row r="43" spans="1:5" ht="15.6" x14ac:dyDescent="0.3">
      <c r="A43" s="24" t="s">
        <v>80</v>
      </c>
      <c r="B43" s="2" t="s">
        <v>142</v>
      </c>
      <c r="C43" s="7">
        <f>E43/12</f>
        <v>1262.8141666666668</v>
      </c>
      <c r="D43" s="7">
        <f>C43/C7</f>
        <v>0.38797326082726558</v>
      </c>
      <c r="E43" s="55">
        <v>15153.77</v>
      </c>
    </row>
    <row r="44" spans="1:5" ht="31.2" x14ac:dyDescent="0.3">
      <c r="A44" s="85" t="s">
        <v>81</v>
      </c>
      <c r="B44" s="86" t="s">
        <v>143</v>
      </c>
      <c r="C44" s="87">
        <f t="shared" ref="C44" si="2">E44/12</f>
        <v>2500</v>
      </c>
      <c r="D44" s="87">
        <f>C44/C7</f>
        <v>0.76807275185105528</v>
      </c>
      <c r="E44" s="88">
        <v>30000</v>
      </c>
    </row>
    <row r="45" spans="1:5" ht="15.6" x14ac:dyDescent="0.3">
      <c r="A45" s="24" t="s">
        <v>82</v>
      </c>
      <c r="B45" s="2"/>
      <c r="C45" s="7">
        <f>E45/12</f>
        <v>0</v>
      </c>
      <c r="D45" s="7">
        <f>C45/C7</f>
        <v>0</v>
      </c>
      <c r="E45" s="55"/>
    </row>
    <row r="46" spans="1:5" ht="15.6" x14ac:dyDescent="0.3">
      <c r="A46" s="24" t="s">
        <v>83</v>
      </c>
      <c r="B46" s="2"/>
      <c r="C46" s="7">
        <f t="shared" ref="C46:C49" si="3">E46/12</f>
        <v>0</v>
      </c>
      <c r="D46" s="7">
        <f>C46/C7</f>
        <v>0</v>
      </c>
      <c r="E46" s="55"/>
    </row>
    <row r="47" spans="1:5" ht="15.6" x14ac:dyDescent="0.3">
      <c r="A47" s="24" t="s">
        <v>132</v>
      </c>
      <c r="B47" s="2"/>
      <c r="C47" s="7">
        <f t="shared" si="3"/>
        <v>0</v>
      </c>
      <c r="D47" s="7">
        <f>C47/C7</f>
        <v>0</v>
      </c>
      <c r="E47" s="55"/>
    </row>
    <row r="48" spans="1:5" ht="15.6" x14ac:dyDescent="0.3">
      <c r="A48" s="38" t="s">
        <v>133</v>
      </c>
      <c r="B48" s="2"/>
      <c r="C48" s="7">
        <f t="shared" si="3"/>
        <v>0</v>
      </c>
      <c r="D48" s="7">
        <f>C48/C7</f>
        <v>0</v>
      </c>
      <c r="E48" s="55"/>
    </row>
    <row r="49" spans="1:5" ht="15.6" x14ac:dyDescent="0.3">
      <c r="A49" s="24" t="s">
        <v>134</v>
      </c>
      <c r="B49" s="2"/>
      <c r="C49" s="7">
        <f t="shared" si="3"/>
        <v>0</v>
      </c>
      <c r="D49" s="7">
        <f>C49/C7</f>
        <v>0</v>
      </c>
      <c r="E49" s="55"/>
    </row>
    <row r="50" spans="1:5" ht="15.6" x14ac:dyDescent="0.3">
      <c r="A50" s="24"/>
      <c r="B50" s="2"/>
      <c r="C50" s="7"/>
      <c r="D50" s="7"/>
      <c r="E50" s="55"/>
    </row>
    <row r="51" spans="1:5" ht="15.6" x14ac:dyDescent="0.3">
      <c r="A51" s="24"/>
      <c r="B51" s="2"/>
      <c r="C51" s="7"/>
      <c r="D51" s="7"/>
      <c r="E51" s="55"/>
    </row>
    <row r="52" spans="1:5" ht="15.6" x14ac:dyDescent="0.3">
      <c r="A52" s="24"/>
      <c r="B52" s="2"/>
      <c r="C52" s="7"/>
      <c r="D52" s="7"/>
      <c r="E52" s="55"/>
    </row>
    <row r="53" spans="1:5" ht="15.6" x14ac:dyDescent="0.3">
      <c r="A53" s="24"/>
      <c r="B53" s="2"/>
      <c r="C53" s="7"/>
      <c r="D53" s="7"/>
      <c r="E53" s="55"/>
    </row>
    <row r="54" spans="1:5" ht="15.6" x14ac:dyDescent="0.3">
      <c r="A54" s="24"/>
      <c r="B54" s="2"/>
      <c r="C54" s="7"/>
      <c r="D54" s="7"/>
      <c r="E54" s="55"/>
    </row>
    <row r="55" spans="1:5" ht="15.6" x14ac:dyDescent="0.3">
      <c r="A55" s="24"/>
      <c r="B55" s="40" t="s">
        <v>70</v>
      </c>
      <c r="C55" s="41">
        <f>SUM(C42:C54)</f>
        <v>4316.6575000000003</v>
      </c>
      <c r="D55" s="41">
        <f>SUM(D42:D54)</f>
        <v>1.3262028019293988</v>
      </c>
      <c r="E55" s="40">
        <f>SUM(E42:E54)</f>
        <v>51799.89</v>
      </c>
    </row>
    <row r="56" spans="1:5" ht="15.6" x14ac:dyDescent="0.3">
      <c r="A56" s="31"/>
      <c r="B56" s="32" t="s">
        <v>60</v>
      </c>
      <c r="C56" s="30">
        <f>D56*C7</f>
        <v>35803.9</v>
      </c>
      <c r="D56" s="30">
        <f>D41+D23+D16</f>
        <v>11</v>
      </c>
      <c r="E56" s="30">
        <f>C56*12</f>
        <v>429646.80000000005</v>
      </c>
    </row>
    <row r="57" spans="1:5" ht="15.6" x14ac:dyDescent="0.3">
      <c r="A57" s="31" t="s">
        <v>69</v>
      </c>
      <c r="B57" s="16" t="s">
        <v>65</v>
      </c>
      <c r="C57" s="16">
        <f>D57*C7</f>
        <v>1333.3333333333335</v>
      </c>
      <c r="D57" s="22">
        <f>C10/C7/12</f>
        <v>0.40963880098722955</v>
      </c>
      <c r="E57" s="16">
        <f>C57*12</f>
        <v>16000.000000000002</v>
      </c>
    </row>
    <row r="58" spans="1:5" ht="15.6" x14ac:dyDescent="0.3">
      <c r="A58" s="24" t="s">
        <v>74</v>
      </c>
      <c r="B58" s="55" t="s">
        <v>72</v>
      </c>
      <c r="C58" s="76">
        <f>E58/12</f>
        <v>1333.3333333333333</v>
      </c>
      <c r="D58" s="54">
        <f>C58/C7</f>
        <v>0.40963880098722949</v>
      </c>
      <c r="E58" s="55">
        <v>16000</v>
      </c>
    </row>
    <row r="59" spans="1:5" ht="15.6" x14ac:dyDescent="0.3">
      <c r="A59" s="24" t="s">
        <v>75</v>
      </c>
      <c r="B59" s="55"/>
      <c r="C59" s="76"/>
      <c r="D59" s="54"/>
      <c r="E59" s="55"/>
    </row>
    <row r="60" spans="1:5" ht="15.6" x14ac:dyDescent="0.3">
      <c r="A60" s="24" t="s">
        <v>96</v>
      </c>
      <c r="B60" s="55"/>
      <c r="C60" s="76"/>
      <c r="D60" s="54"/>
      <c r="E60" s="55"/>
    </row>
    <row r="61" spans="1:5" ht="15.6" x14ac:dyDescent="0.3">
      <c r="A61" s="4"/>
      <c r="B61" s="2"/>
      <c r="C61" s="39"/>
      <c r="D61" s="7"/>
      <c r="E61" s="55"/>
    </row>
    <row r="62" spans="1:5" ht="15.6" x14ac:dyDescent="0.3">
      <c r="A62" s="4"/>
      <c r="B62" s="42" t="s">
        <v>70</v>
      </c>
      <c r="C62" s="42"/>
      <c r="D62" s="43">
        <f>SUM(D58:D61)</f>
        <v>0.40963880098722949</v>
      </c>
      <c r="E62" s="42"/>
    </row>
    <row r="63" spans="1:5" x14ac:dyDescent="0.3">
      <c r="A63" s="119" t="s">
        <v>166</v>
      </c>
      <c r="B63" s="120"/>
      <c r="C63" s="120"/>
      <c r="D63" s="120"/>
      <c r="E63" s="121"/>
    </row>
    <row r="64" spans="1:5" x14ac:dyDescent="0.3">
      <c r="A64" s="122"/>
      <c r="B64" s="123"/>
      <c r="C64" s="123"/>
      <c r="D64" s="123"/>
      <c r="E64" s="124"/>
    </row>
    <row r="65" spans="1:5" x14ac:dyDescent="0.3">
      <c r="A65" s="122"/>
      <c r="B65" s="123"/>
      <c r="C65" s="123"/>
      <c r="D65" s="123"/>
      <c r="E65" s="124"/>
    </row>
    <row r="66" spans="1:5" x14ac:dyDescent="0.3">
      <c r="A66" s="125"/>
      <c r="B66" s="126"/>
      <c r="C66" s="126"/>
      <c r="D66" s="126"/>
      <c r="E66" s="127"/>
    </row>
    <row r="67" spans="1:5" ht="42" customHeight="1" x14ac:dyDescent="0.3">
      <c r="A67" s="114" t="s">
        <v>167</v>
      </c>
      <c r="B67" s="115"/>
      <c r="C67" s="3"/>
      <c r="D67" s="3"/>
      <c r="E67" s="3"/>
    </row>
  </sheetData>
  <mergeCells count="18">
    <mergeCell ref="A10:B10"/>
    <mergeCell ref="C10:E10"/>
    <mergeCell ref="A63:E66"/>
    <mergeCell ref="A67:B67"/>
    <mergeCell ref="A7:B7"/>
    <mergeCell ref="C7:E7"/>
    <mergeCell ref="A13:B13"/>
    <mergeCell ref="C13:E13"/>
    <mergeCell ref="A14:E14"/>
    <mergeCell ref="A8:B8"/>
    <mergeCell ref="C8:E8"/>
    <mergeCell ref="A9:B9"/>
    <mergeCell ref="C9:E9"/>
    <mergeCell ref="A2:E4"/>
    <mergeCell ref="A5:B5"/>
    <mergeCell ref="C5:E5"/>
    <mergeCell ref="A6:B6"/>
    <mergeCell ref="C6:E6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8"/>
  <sheetViews>
    <sheetView topLeftCell="A44" workbookViewId="0">
      <selection activeCell="G65" sqref="G65"/>
    </sheetView>
  </sheetViews>
  <sheetFormatPr defaultRowHeight="13.8" x14ac:dyDescent="0.3"/>
  <cols>
    <col min="1" max="1" width="8.5546875" style="29" customWidth="1"/>
    <col min="2" max="2" width="51.88671875" customWidth="1"/>
    <col min="3" max="3" width="11.6640625" customWidth="1"/>
    <col min="4" max="4" width="11.88671875" customWidth="1"/>
    <col min="5" max="5" width="12.33203125" customWidth="1"/>
  </cols>
  <sheetData>
    <row r="2" spans="1:5" x14ac:dyDescent="0.3">
      <c r="A2" s="102" t="s">
        <v>100</v>
      </c>
      <c r="B2" s="102"/>
      <c r="C2" s="102"/>
      <c r="D2" s="102"/>
      <c r="E2" s="102"/>
    </row>
    <row r="3" spans="1:5" x14ac:dyDescent="0.3">
      <c r="A3" s="102"/>
      <c r="B3" s="102"/>
      <c r="C3" s="102"/>
      <c r="D3" s="102"/>
      <c r="E3" s="102"/>
    </row>
    <row r="4" spans="1:5" x14ac:dyDescent="0.3">
      <c r="A4" s="103"/>
      <c r="B4" s="103"/>
      <c r="C4" s="103"/>
      <c r="D4" s="103"/>
      <c r="E4" s="103"/>
    </row>
    <row r="5" spans="1:5" ht="15.6" x14ac:dyDescent="0.3">
      <c r="A5" s="97" t="s">
        <v>0</v>
      </c>
      <c r="B5" s="98"/>
      <c r="C5" s="97" t="s">
        <v>1</v>
      </c>
      <c r="D5" s="104"/>
      <c r="E5" s="98"/>
    </row>
    <row r="6" spans="1:5" ht="15.6" x14ac:dyDescent="0.3">
      <c r="A6" s="97" t="s">
        <v>2</v>
      </c>
      <c r="B6" s="98"/>
      <c r="C6" s="133">
        <v>5</v>
      </c>
      <c r="D6" s="134"/>
      <c r="E6" s="135"/>
    </row>
    <row r="7" spans="1:5" ht="15.6" x14ac:dyDescent="0.3">
      <c r="A7" s="97" t="s">
        <v>3</v>
      </c>
      <c r="B7" s="98"/>
      <c r="C7" s="133">
        <v>7089.1</v>
      </c>
      <c r="D7" s="134"/>
      <c r="E7" s="135"/>
    </row>
    <row r="8" spans="1:5" ht="15.6" x14ac:dyDescent="0.3">
      <c r="A8" s="97" t="s">
        <v>4</v>
      </c>
      <c r="B8" s="98"/>
      <c r="C8" s="133">
        <v>1063</v>
      </c>
      <c r="D8" s="134"/>
      <c r="E8" s="135"/>
    </row>
    <row r="9" spans="1:5" ht="15.6" x14ac:dyDescent="0.3">
      <c r="A9" s="97" t="s">
        <v>5</v>
      </c>
      <c r="B9" s="98"/>
      <c r="C9" s="133">
        <v>11</v>
      </c>
      <c r="D9" s="134"/>
      <c r="E9" s="135"/>
    </row>
    <row r="10" spans="1:5" ht="15.6" x14ac:dyDescent="0.3">
      <c r="A10" s="97" t="s">
        <v>6</v>
      </c>
      <c r="B10" s="98"/>
      <c r="C10" s="133">
        <v>26400</v>
      </c>
      <c r="D10" s="134"/>
      <c r="E10" s="135"/>
    </row>
    <row r="11" spans="1:5" ht="15.6" x14ac:dyDescent="0.3">
      <c r="A11" s="50"/>
      <c r="B11" s="51" t="s">
        <v>56</v>
      </c>
      <c r="C11" s="50"/>
      <c r="D11" s="52">
        <f>C7*C9</f>
        <v>77980.100000000006</v>
      </c>
      <c r="E11" s="51"/>
    </row>
    <row r="12" spans="1:5" ht="15.6" x14ac:dyDescent="0.3">
      <c r="A12" s="50"/>
      <c r="B12" s="51" t="s">
        <v>64</v>
      </c>
      <c r="C12" s="50"/>
      <c r="D12" s="52">
        <f>D11+(C10/12)</f>
        <v>80180.100000000006</v>
      </c>
      <c r="E12" s="51"/>
    </row>
    <row r="13" spans="1:5" ht="15.6" x14ac:dyDescent="0.3">
      <c r="A13" s="97" t="s">
        <v>7</v>
      </c>
      <c r="B13" s="98"/>
      <c r="C13" s="97">
        <f>(C7*C9*12)+C10</f>
        <v>962161.20000000007</v>
      </c>
      <c r="D13" s="104"/>
      <c r="E13" s="98"/>
    </row>
    <row r="14" spans="1:5" ht="15.6" x14ac:dyDescent="0.3">
      <c r="A14" s="97" t="s">
        <v>8</v>
      </c>
      <c r="B14" s="104"/>
      <c r="C14" s="104"/>
      <c r="D14" s="104"/>
      <c r="E14" s="98"/>
    </row>
    <row r="15" spans="1:5" ht="46.8" x14ac:dyDescent="0.3">
      <c r="A15" s="4"/>
      <c r="B15" s="10" t="s">
        <v>12</v>
      </c>
      <c r="C15" s="10" t="s">
        <v>13</v>
      </c>
      <c r="D15" s="11" t="s">
        <v>14</v>
      </c>
      <c r="E15" s="10" t="s">
        <v>15</v>
      </c>
    </row>
    <row r="16" spans="1:5" ht="18" x14ac:dyDescent="0.35">
      <c r="A16" s="23">
        <v>1</v>
      </c>
      <c r="B16" s="14" t="s">
        <v>9</v>
      </c>
      <c r="C16" s="21">
        <f>C17+C18</f>
        <v>18165.817533333335</v>
      </c>
      <c r="D16" s="21">
        <f>D17+D18</f>
        <v>2.6756031842311909</v>
      </c>
      <c r="E16" s="21">
        <f>E17+E18</f>
        <v>217989.81040000002</v>
      </c>
    </row>
    <row r="17" spans="1:5" ht="15.6" x14ac:dyDescent="0.3">
      <c r="A17" s="24" t="s">
        <v>10</v>
      </c>
      <c r="B17" s="8" t="s">
        <v>11</v>
      </c>
      <c r="C17" s="54">
        <f>(D11*13.8%)+(C10*13.8%/12)</f>
        <v>11064.853800000003</v>
      </c>
      <c r="D17" s="54">
        <f>C17/C7</f>
        <v>1.5608263108151954</v>
      </c>
      <c r="E17" s="54">
        <f>C17*12</f>
        <v>132778.24560000002</v>
      </c>
    </row>
    <row r="18" spans="1:5" ht="15.6" x14ac:dyDescent="0.3">
      <c r="A18" s="4" t="s">
        <v>16</v>
      </c>
      <c r="B18" s="8" t="s">
        <v>17</v>
      </c>
      <c r="C18" s="62">
        <f>SUM(C19:C21)</f>
        <v>7100.9637333333339</v>
      </c>
      <c r="D18" s="62">
        <f>SUM(D19:D22)</f>
        <v>1.1147768734159955</v>
      </c>
      <c r="E18" s="62">
        <f t="shared" ref="E18" si="0">SUM(E19:E21)</f>
        <v>85211.564800000007</v>
      </c>
    </row>
    <row r="19" spans="1:5" ht="15.6" x14ac:dyDescent="0.3">
      <c r="A19" s="24" t="s">
        <v>18</v>
      </c>
      <c r="B19" s="8" t="s">
        <v>19</v>
      </c>
      <c r="C19" s="54">
        <f>E19/12</f>
        <v>2535.5833333333335</v>
      </c>
      <c r="D19" s="54">
        <f>C19/C7</f>
        <v>0.35767351755982191</v>
      </c>
      <c r="E19" s="54">
        <v>30427</v>
      </c>
    </row>
    <row r="20" spans="1:5" ht="42" x14ac:dyDescent="0.3">
      <c r="A20" s="24" t="s">
        <v>20</v>
      </c>
      <c r="B20" s="13" t="s">
        <v>21</v>
      </c>
      <c r="C20" s="54">
        <f>D20*C7</f>
        <v>1914.0570000000002</v>
      </c>
      <c r="D20" s="55">
        <v>0.27</v>
      </c>
      <c r="E20" s="54">
        <f>C20*12</f>
        <v>22968.684000000001</v>
      </c>
    </row>
    <row r="21" spans="1:5" ht="15.6" x14ac:dyDescent="0.3">
      <c r="A21" s="24" t="s">
        <v>22</v>
      </c>
      <c r="B21" s="8" t="s">
        <v>23</v>
      </c>
      <c r="C21" s="7">
        <f>D11*3.4%</f>
        <v>2651.3234000000002</v>
      </c>
      <c r="D21" s="7">
        <f>C21/C7</f>
        <v>0.374</v>
      </c>
      <c r="E21" s="7">
        <f>C21*12</f>
        <v>31815.880800000003</v>
      </c>
    </row>
    <row r="22" spans="1:5" ht="15.6" x14ac:dyDescent="0.3">
      <c r="A22" s="24" t="s">
        <v>66</v>
      </c>
      <c r="B22" s="8" t="s">
        <v>67</v>
      </c>
      <c r="C22" s="7">
        <f>E22/12</f>
        <v>801.80100000000004</v>
      </c>
      <c r="D22" s="7">
        <f>C22/C7</f>
        <v>0.11310335585617357</v>
      </c>
      <c r="E22" s="7">
        <f>C13*1%</f>
        <v>9621.612000000001</v>
      </c>
    </row>
    <row r="23" spans="1:5" ht="18" x14ac:dyDescent="0.35">
      <c r="A23" s="25" t="s">
        <v>24</v>
      </c>
      <c r="B23" s="14" t="s">
        <v>25</v>
      </c>
      <c r="C23" s="21">
        <f>C24+C28+C34</f>
        <v>42368.763999999996</v>
      </c>
      <c r="D23" s="21">
        <f>D24+D28+D34</f>
        <v>5.9766069035561626</v>
      </c>
      <c r="E23" s="21">
        <f>E24+E28+E34</f>
        <v>508425.16800000001</v>
      </c>
    </row>
    <row r="24" spans="1:5" ht="17.399999999999999" x14ac:dyDescent="0.3">
      <c r="A24" s="26" t="s">
        <v>26</v>
      </c>
      <c r="B24" s="15" t="s">
        <v>27</v>
      </c>
      <c r="C24" s="22">
        <f>SUM(C25:C27)</f>
        <v>1666.9763333333333</v>
      </c>
      <c r="D24" s="22">
        <f>SUM(D25:D27)</f>
        <v>0.2351463984614878</v>
      </c>
      <c r="E24" s="22">
        <f>SUM(E25:E27)</f>
        <v>20003.716</v>
      </c>
    </row>
    <row r="25" spans="1:5" ht="15.6" x14ac:dyDescent="0.3">
      <c r="A25" s="24" t="s">
        <v>28</v>
      </c>
      <c r="B25" s="13" t="s">
        <v>61</v>
      </c>
      <c r="C25" s="7">
        <f>D25*C7</f>
        <v>1276.038</v>
      </c>
      <c r="D25" s="2">
        <v>0.18</v>
      </c>
      <c r="E25" s="7">
        <f>C25*12</f>
        <v>15312.456</v>
      </c>
    </row>
    <row r="26" spans="1:5" ht="15.6" x14ac:dyDescent="0.3">
      <c r="A26" s="24" t="s">
        <v>29</v>
      </c>
      <c r="B26" s="2" t="s">
        <v>30</v>
      </c>
      <c r="C26" s="7">
        <f>D26*C7</f>
        <v>354.45500000000004</v>
      </c>
      <c r="D26" s="2">
        <v>0.05</v>
      </c>
      <c r="E26" s="7">
        <f>C26*12</f>
        <v>4253.4600000000009</v>
      </c>
    </row>
    <row r="27" spans="1:5" ht="15.6" x14ac:dyDescent="0.3">
      <c r="A27" s="57" t="s">
        <v>31</v>
      </c>
      <c r="B27" s="55" t="s">
        <v>57</v>
      </c>
      <c r="C27" s="54">
        <f>E27/12</f>
        <v>36.483333333333334</v>
      </c>
      <c r="D27" s="56">
        <f>C27/C7</f>
        <v>5.1463984614878236E-3</v>
      </c>
      <c r="E27" s="55">
        <f>87.56*5</f>
        <v>437.8</v>
      </c>
    </row>
    <row r="28" spans="1:5" ht="17.399999999999999" x14ac:dyDescent="0.3">
      <c r="A28" s="65" t="s">
        <v>32</v>
      </c>
      <c r="B28" s="17" t="s">
        <v>33</v>
      </c>
      <c r="C28" s="22">
        <f>SUM(C29:C33)</f>
        <v>20356.314000000002</v>
      </c>
      <c r="D28" s="22">
        <f>SUM(D29:D33)</f>
        <v>2.8714948300912666</v>
      </c>
      <c r="E28" s="22">
        <f>SUM(E29:E33)</f>
        <v>244275.76800000001</v>
      </c>
    </row>
    <row r="29" spans="1:5" ht="15.6" x14ac:dyDescent="0.3">
      <c r="A29" s="57" t="s">
        <v>34</v>
      </c>
      <c r="B29" s="13" t="s">
        <v>62</v>
      </c>
      <c r="C29" s="7">
        <f>D29*C7</f>
        <v>12405.925000000001</v>
      </c>
      <c r="D29" s="2">
        <v>1.75</v>
      </c>
      <c r="E29" s="7">
        <f>C29*12</f>
        <v>148871.1</v>
      </c>
    </row>
    <row r="30" spans="1:5" ht="15.6" x14ac:dyDescent="0.3">
      <c r="A30" s="57" t="s">
        <v>35</v>
      </c>
      <c r="B30" s="55" t="s">
        <v>36</v>
      </c>
      <c r="C30" s="55">
        <v>2350</v>
      </c>
      <c r="D30" s="7">
        <f>C30/C7</f>
        <v>0.33149483009126685</v>
      </c>
      <c r="E30" s="2">
        <f>C30*12</f>
        <v>28200</v>
      </c>
    </row>
    <row r="31" spans="1:5" ht="15.6" x14ac:dyDescent="0.3">
      <c r="A31" s="57" t="s">
        <v>37</v>
      </c>
      <c r="B31" s="55" t="s">
        <v>30</v>
      </c>
      <c r="C31" s="54">
        <f>D31*C7</f>
        <v>638.01900000000001</v>
      </c>
      <c r="D31" s="2">
        <v>0.09</v>
      </c>
      <c r="E31" s="7">
        <f>C31*12</f>
        <v>7656.2280000000001</v>
      </c>
    </row>
    <row r="32" spans="1:5" ht="15.6" x14ac:dyDescent="0.3">
      <c r="A32" s="57" t="s">
        <v>38</v>
      </c>
      <c r="B32" s="2" t="s">
        <v>40</v>
      </c>
      <c r="C32" s="7">
        <f>D32*C7</f>
        <v>212.673</v>
      </c>
      <c r="D32" s="2">
        <v>0.03</v>
      </c>
      <c r="E32" s="7">
        <f>C32*12</f>
        <v>2552.076</v>
      </c>
    </row>
    <row r="33" spans="1:5" ht="15.6" x14ac:dyDescent="0.3">
      <c r="A33" s="57" t="s">
        <v>39</v>
      </c>
      <c r="B33" s="2" t="s">
        <v>41</v>
      </c>
      <c r="C33" s="7">
        <f>D33*C7</f>
        <v>4749.6970000000001</v>
      </c>
      <c r="D33" s="2">
        <v>0.67</v>
      </c>
      <c r="E33" s="7">
        <f>C33*12</f>
        <v>56996.364000000001</v>
      </c>
    </row>
    <row r="34" spans="1:5" ht="31.2" x14ac:dyDescent="0.3">
      <c r="A34" s="65" t="s">
        <v>42</v>
      </c>
      <c r="B34" s="18" t="s">
        <v>43</v>
      </c>
      <c r="C34" s="22">
        <f>SUM(C35:C40)</f>
        <v>20345.473666666665</v>
      </c>
      <c r="D34" s="22">
        <f>SUM(D35:D40)</f>
        <v>2.8699656750034084</v>
      </c>
      <c r="E34" s="22">
        <f>SUM(E35:E40)</f>
        <v>244145.68400000001</v>
      </c>
    </row>
    <row r="35" spans="1:5" ht="27" x14ac:dyDescent="0.3">
      <c r="A35" s="57" t="s">
        <v>44</v>
      </c>
      <c r="B35" s="12" t="s">
        <v>73</v>
      </c>
      <c r="C35" s="7">
        <f>D35*C7</f>
        <v>17935.422999999999</v>
      </c>
      <c r="D35" s="2">
        <v>2.5299999999999998</v>
      </c>
      <c r="E35" s="7">
        <f>C35*12</f>
        <v>215225.076</v>
      </c>
    </row>
    <row r="36" spans="1:5" ht="15.6" x14ac:dyDescent="0.3">
      <c r="A36" s="57" t="s">
        <v>46</v>
      </c>
      <c r="B36" s="58" t="s">
        <v>45</v>
      </c>
      <c r="C36" s="54">
        <f>D36*C7</f>
        <v>638.01900000000001</v>
      </c>
      <c r="D36" s="55">
        <v>0.09</v>
      </c>
      <c r="E36" s="54">
        <f t="shared" ref="E36:E40" si="1">C36*12</f>
        <v>7656.2280000000001</v>
      </c>
    </row>
    <row r="37" spans="1:5" ht="15.6" x14ac:dyDescent="0.3">
      <c r="A37" s="57" t="s">
        <v>47</v>
      </c>
      <c r="B37" s="55" t="s">
        <v>48</v>
      </c>
      <c r="C37" s="54">
        <f>D37*C7</f>
        <v>141.78200000000001</v>
      </c>
      <c r="D37" s="55">
        <v>0.02</v>
      </c>
      <c r="E37" s="54">
        <f t="shared" si="1"/>
        <v>1701.384</v>
      </c>
    </row>
    <row r="38" spans="1:5" ht="15.6" x14ac:dyDescent="0.3">
      <c r="A38" s="57" t="s">
        <v>49</v>
      </c>
      <c r="B38" s="55" t="s">
        <v>50</v>
      </c>
      <c r="C38" s="54">
        <f>D38*C7</f>
        <v>212.673</v>
      </c>
      <c r="D38" s="55">
        <v>0.03</v>
      </c>
      <c r="E38" s="54">
        <f t="shared" si="1"/>
        <v>2552.076</v>
      </c>
    </row>
    <row r="39" spans="1:5" ht="15.6" x14ac:dyDescent="0.3">
      <c r="A39" s="57" t="s">
        <v>51</v>
      </c>
      <c r="B39" s="55" t="s">
        <v>52</v>
      </c>
      <c r="C39" s="59">
        <f>E39/12</f>
        <v>708.66666666666663</v>
      </c>
      <c r="D39" s="59">
        <f>C39/C7</f>
        <v>9.9965675003408985E-2</v>
      </c>
      <c r="E39" s="59">
        <f>C8*4*2</f>
        <v>8504</v>
      </c>
    </row>
    <row r="40" spans="1:5" ht="15.6" x14ac:dyDescent="0.3">
      <c r="A40" s="24" t="s">
        <v>53</v>
      </c>
      <c r="B40" s="55" t="s">
        <v>30</v>
      </c>
      <c r="C40" s="54">
        <f>D40*C7</f>
        <v>708.91000000000008</v>
      </c>
      <c r="D40" s="55">
        <v>0.1</v>
      </c>
      <c r="E40" s="54">
        <f t="shared" si="1"/>
        <v>8506.9200000000019</v>
      </c>
    </row>
    <row r="41" spans="1:5" ht="17.399999999999999" x14ac:dyDescent="0.3">
      <c r="A41" s="26" t="s">
        <v>68</v>
      </c>
      <c r="B41" s="16" t="s">
        <v>59</v>
      </c>
      <c r="C41" s="16">
        <f>D41*C7</f>
        <v>16643.717466666672</v>
      </c>
      <c r="D41" s="22">
        <f>C9-D16-D23</f>
        <v>2.3477899122126464</v>
      </c>
      <c r="E41" s="22">
        <f>C41*12</f>
        <v>199724.60960000008</v>
      </c>
    </row>
    <row r="42" spans="1:5" ht="15.6" x14ac:dyDescent="0.3">
      <c r="A42" s="24" t="s">
        <v>77</v>
      </c>
      <c r="B42" s="2" t="s">
        <v>78</v>
      </c>
      <c r="C42" s="7">
        <f>E42/12</f>
        <v>4143.666666666667</v>
      </c>
      <c r="D42" s="7">
        <f>C42/C7</f>
        <v>0.58451237345596296</v>
      </c>
      <c r="E42" s="55">
        <v>49724</v>
      </c>
    </row>
    <row r="43" spans="1:5" ht="33.75" customHeight="1" x14ac:dyDescent="0.3">
      <c r="A43" s="85" t="s">
        <v>79</v>
      </c>
      <c r="B43" s="86" t="s">
        <v>149</v>
      </c>
      <c r="C43" s="87">
        <f>E43/12</f>
        <v>0</v>
      </c>
      <c r="D43" s="87">
        <f>C43/C7</f>
        <v>0</v>
      </c>
      <c r="E43" s="88">
        <v>0</v>
      </c>
    </row>
    <row r="44" spans="1:5" ht="15.6" x14ac:dyDescent="0.3">
      <c r="A44" s="24" t="s">
        <v>80</v>
      </c>
      <c r="B44" s="2" t="s">
        <v>151</v>
      </c>
      <c r="C44" s="7">
        <f>E44/12</f>
        <v>0</v>
      </c>
      <c r="D44" s="7">
        <f>C44/C7</f>
        <v>0</v>
      </c>
      <c r="E44" s="55">
        <v>0</v>
      </c>
    </row>
    <row r="45" spans="1:5" ht="15.6" x14ac:dyDescent="0.3">
      <c r="A45" s="85" t="s">
        <v>81</v>
      </c>
      <c r="B45" s="86" t="s">
        <v>150</v>
      </c>
      <c r="C45" s="87">
        <f t="shared" ref="C45" si="2">E45/12</f>
        <v>12500</v>
      </c>
      <c r="D45" s="87">
        <f>C45/C7</f>
        <v>1.7632703728258876</v>
      </c>
      <c r="E45" s="88">
        <v>150000</v>
      </c>
    </row>
    <row r="46" spans="1:5" ht="15.6" x14ac:dyDescent="0.3">
      <c r="A46" s="24" t="s">
        <v>82</v>
      </c>
      <c r="B46" s="2" t="s">
        <v>148</v>
      </c>
      <c r="C46" s="7">
        <f>E46/12</f>
        <v>0</v>
      </c>
      <c r="D46" s="7">
        <f>C46/C7</f>
        <v>0</v>
      </c>
      <c r="E46" s="55">
        <v>0</v>
      </c>
    </row>
    <row r="47" spans="1:5" ht="15.6" x14ac:dyDescent="0.3">
      <c r="A47" s="24" t="s">
        <v>83</v>
      </c>
      <c r="B47" s="2"/>
      <c r="C47" s="7">
        <f t="shared" ref="C47:C50" si="3">E47/12</f>
        <v>0</v>
      </c>
      <c r="D47" s="7">
        <f>C47/C7</f>
        <v>0</v>
      </c>
      <c r="E47" s="55">
        <v>0</v>
      </c>
    </row>
    <row r="48" spans="1:5" ht="15.6" x14ac:dyDescent="0.3">
      <c r="A48" s="24" t="s">
        <v>132</v>
      </c>
      <c r="B48" s="2"/>
      <c r="C48" s="7">
        <f t="shared" si="3"/>
        <v>0</v>
      </c>
      <c r="D48" s="7">
        <f>C48/C7</f>
        <v>0</v>
      </c>
      <c r="E48" s="55">
        <v>0</v>
      </c>
    </row>
    <row r="49" spans="1:5" ht="15.6" x14ac:dyDescent="0.3">
      <c r="A49" s="38" t="s">
        <v>133</v>
      </c>
      <c r="B49" s="2"/>
      <c r="C49" s="7">
        <f t="shared" si="3"/>
        <v>0</v>
      </c>
      <c r="D49" s="7">
        <f>C49/C7</f>
        <v>0</v>
      </c>
      <c r="E49" s="55">
        <v>0</v>
      </c>
    </row>
    <row r="50" spans="1:5" ht="15.6" x14ac:dyDescent="0.3">
      <c r="A50" s="24" t="s">
        <v>134</v>
      </c>
      <c r="B50" s="2"/>
      <c r="C50" s="7">
        <f t="shared" si="3"/>
        <v>0</v>
      </c>
      <c r="D50" s="7">
        <f>C50/C7</f>
        <v>0</v>
      </c>
      <c r="E50" s="55">
        <v>0</v>
      </c>
    </row>
    <row r="51" spans="1:5" ht="15.6" x14ac:dyDescent="0.3">
      <c r="A51" s="24"/>
      <c r="B51" s="2"/>
      <c r="C51" s="7"/>
      <c r="D51" s="7"/>
      <c r="E51" s="55"/>
    </row>
    <row r="52" spans="1:5" ht="15.6" x14ac:dyDescent="0.3">
      <c r="A52" s="24"/>
      <c r="B52" s="2"/>
      <c r="C52" s="7"/>
      <c r="D52" s="7"/>
      <c r="E52" s="55"/>
    </row>
    <row r="53" spans="1:5" ht="15.6" x14ac:dyDescent="0.3">
      <c r="A53" s="24"/>
      <c r="B53" s="2"/>
      <c r="C53" s="7"/>
      <c r="D53" s="7"/>
      <c r="E53" s="55"/>
    </row>
    <row r="54" spans="1:5" ht="15.6" x14ac:dyDescent="0.3">
      <c r="A54" s="24"/>
      <c r="B54" s="2"/>
      <c r="C54" s="7"/>
      <c r="D54" s="7"/>
      <c r="E54" s="55"/>
    </row>
    <row r="55" spans="1:5" ht="15.6" x14ac:dyDescent="0.3">
      <c r="A55" s="24"/>
      <c r="B55" s="2"/>
      <c r="C55" s="7"/>
      <c r="D55" s="7"/>
      <c r="E55" s="55"/>
    </row>
    <row r="56" spans="1:5" ht="15.6" x14ac:dyDescent="0.3">
      <c r="A56" s="24"/>
      <c r="B56" s="40" t="s">
        <v>70</v>
      </c>
      <c r="C56" s="41">
        <f>SUM(C42:C55)</f>
        <v>16643.666666666668</v>
      </c>
      <c r="D56" s="41">
        <f>SUM(D42:D55)</f>
        <v>2.3477827462818506</v>
      </c>
      <c r="E56" s="40">
        <f>SUM(E42:E55)</f>
        <v>199724</v>
      </c>
    </row>
    <row r="57" spans="1:5" ht="15.6" x14ac:dyDescent="0.3">
      <c r="A57" s="31"/>
      <c r="B57" s="32" t="s">
        <v>60</v>
      </c>
      <c r="C57" s="30">
        <f>D57*C7</f>
        <v>77980.100000000006</v>
      </c>
      <c r="D57" s="30">
        <f>D41+D23+D16</f>
        <v>11</v>
      </c>
      <c r="E57" s="30">
        <f>C57*12</f>
        <v>935761.20000000007</v>
      </c>
    </row>
    <row r="58" spans="1:5" ht="15.6" x14ac:dyDescent="0.3">
      <c r="A58" s="31" t="s">
        <v>69</v>
      </c>
      <c r="B58" s="16" t="s">
        <v>65</v>
      </c>
      <c r="C58" s="16">
        <f>D58*C7</f>
        <v>2200</v>
      </c>
      <c r="D58" s="22">
        <f>C10/C7/12</f>
        <v>0.31033558561735619</v>
      </c>
      <c r="E58" s="16">
        <f>C58*12</f>
        <v>26400</v>
      </c>
    </row>
    <row r="59" spans="1:5" ht="15.6" x14ac:dyDescent="0.3">
      <c r="A59" s="24" t="s">
        <v>74</v>
      </c>
      <c r="B59" s="2" t="s">
        <v>72</v>
      </c>
      <c r="C59" s="39">
        <f>E59/12</f>
        <v>2200</v>
      </c>
      <c r="D59" s="7">
        <f>C59/C7</f>
        <v>0.31033558561735619</v>
      </c>
      <c r="E59" s="55">
        <v>26400</v>
      </c>
    </row>
    <row r="60" spans="1:5" ht="15.6" x14ac:dyDescent="0.3">
      <c r="A60" s="24" t="s">
        <v>75</v>
      </c>
      <c r="B60" s="2"/>
      <c r="C60" s="39"/>
      <c r="D60" s="7"/>
      <c r="E60" s="55"/>
    </row>
    <row r="61" spans="1:5" ht="15.6" x14ac:dyDescent="0.3">
      <c r="A61" s="24"/>
      <c r="B61" s="2"/>
      <c r="C61" s="39"/>
      <c r="D61" s="7"/>
      <c r="E61" s="55"/>
    </row>
    <row r="62" spans="1:5" ht="15.6" x14ac:dyDescent="0.3">
      <c r="A62" s="4"/>
      <c r="B62" s="2"/>
      <c r="C62" s="39"/>
      <c r="D62" s="7"/>
      <c r="E62" s="55"/>
    </row>
    <row r="63" spans="1:5" ht="15.6" x14ac:dyDescent="0.3">
      <c r="A63" s="4"/>
      <c r="B63" s="42" t="s">
        <v>70</v>
      </c>
      <c r="C63" s="42"/>
      <c r="D63" s="43">
        <f>SUM(D59:D62)</f>
        <v>0.31033558561735619</v>
      </c>
      <c r="E63" s="42"/>
    </row>
    <row r="64" spans="1:5" x14ac:dyDescent="0.3">
      <c r="A64" s="119" t="s">
        <v>166</v>
      </c>
      <c r="B64" s="120"/>
      <c r="C64" s="120"/>
      <c r="D64" s="120"/>
      <c r="E64" s="121"/>
    </row>
    <row r="65" spans="1:5" x14ac:dyDescent="0.3">
      <c r="A65" s="122"/>
      <c r="B65" s="123"/>
      <c r="C65" s="123"/>
      <c r="D65" s="123"/>
      <c r="E65" s="124"/>
    </row>
    <row r="66" spans="1:5" x14ac:dyDescent="0.3">
      <c r="A66" s="122"/>
      <c r="B66" s="123"/>
      <c r="C66" s="123"/>
      <c r="D66" s="123"/>
      <c r="E66" s="124"/>
    </row>
    <row r="67" spans="1:5" x14ac:dyDescent="0.3">
      <c r="A67" s="125"/>
      <c r="B67" s="126"/>
      <c r="C67" s="126"/>
      <c r="D67" s="126"/>
      <c r="E67" s="127"/>
    </row>
    <row r="68" spans="1:5" ht="39.75" customHeight="1" x14ac:dyDescent="0.3">
      <c r="A68" s="114" t="s">
        <v>167</v>
      </c>
      <c r="B68" s="115"/>
      <c r="C68" s="3"/>
      <c r="D68" s="3"/>
      <c r="E68" s="3"/>
    </row>
  </sheetData>
  <mergeCells count="18">
    <mergeCell ref="A10:B10"/>
    <mergeCell ref="C10:E10"/>
    <mergeCell ref="A64:E67"/>
    <mergeCell ref="A68:B68"/>
    <mergeCell ref="A7:B7"/>
    <mergeCell ref="C7:E7"/>
    <mergeCell ref="A13:B13"/>
    <mergeCell ref="C13:E13"/>
    <mergeCell ref="A14:E14"/>
    <mergeCell ref="A8:B8"/>
    <mergeCell ref="C8:E8"/>
    <mergeCell ref="A9:B9"/>
    <mergeCell ref="C9:E9"/>
    <mergeCell ref="A2:E4"/>
    <mergeCell ref="A5:B5"/>
    <mergeCell ref="C5:E5"/>
    <mergeCell ref="A6:B6"/>
    <mergeCell ref="C6:E6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7"/>
  <sheetViews>
    <sheetView topLeftCell="A44" workbookViewId="0">
      <selection activeCell="C59" sqref="C59"/>
    </sheetView>
  </sheetViews>
  <sheetFormatPr defaultRowHeight="13.8" x14ac:dyDescent="0.3"/>
  <cols>
    <col min="1" max="1" width="8.5546875" style="29" customWidth="1"/>
    <col min="2" max="2" width="51.88671875" customWidth="1"/>
    <col min="3" max="3" width="11.6640625" customWidth="1"/>
    <col min="4" max="4" width="11.88671875" customWidth="1"/>
    <col min="5" max="5" width="12.33203125" customWidth="1"/>
  </cols>
  <sheetData>
    <row r="2" spans="1:5" x14ac:dyDescent="0.3">
      <c r="A2" s="102" t="s">
        <v>99</v>
      </c>
      <c r="B2" s="102"/>
      <c r="C2" s="102"/>
      <c r="D2" s="102"/>
      <c r="E2" s="102"/>
    </row>
    <row r="3" spans="1:5" x14ac:dyDescent="0.3">
      <c r="A3" s="102"/>
      <c r="B3" s="102"/>
      <c r="C3" s="102"/>
      <c r="D3" s="102"/>
      <c r="E3" s="102"/>
    </row>
    <row r="4" spans="1:5" x14ac:dyDescent="0.3">
      <c r="A4" s="103"/>
      <c r="B4" s="103"/>
      <c r="C4" s="103"/>
      <c r="D4" s="103"/>
      <c r="E4" s="103"/>
    </row>
    <row r="5" spans="1:5" ht="15.6" x14ac:dyDescent="0.3">
      <c r="A5" s="97" t="s">
        <v>0</v>
      </c>
      <c r="B5" s="98"/>
      <c r="C5" s="97" t="s">
        <v>1</v>
      </c>
      <c r="D5" s="104"/>
      <c r="E5" s="98"/>
    </row>
    <row r="6" spans="1:5" ht="15.6" x14ac:dyDescent="0.3">
      <c r="A6" s="97" t="s">
        <v>2</v>
      </c>
      <c r="B6" s="98"/>
      <c r="C6" s="133">
        <v>3</v>
      </c>
      <c r="D6" s="134"/>
      <c r="E6" s="135"/>
    </row>
    <row r="7" spans="1:5" ht="15.6" x14ac:dyDescent="0.3">
      <c r="A7" s="97" t="s">
        <v>3</v>
      </c>
      <c r="B7" s="98"/>
      <c r="C7" s="133">
        <v>6067.36</v>
      </c>
      <c r="D7" s="134"/>
      <c r="E7" s="135"/>
    </row>
    <row r="8" spans="1:5" ht="15.6" x14ac:dyDescent="0.3">
      <c r="A8" s="97" t="s">
        <v>4</v>
      </c>
      <c r="B8" s="98"/>
      <c r="C8" s="133">
        <v>671</v>
      </c>
      <c r="D8" s="134"/>
      <c r="E8" s="135"/>
    </row>
    <row r="9" spans="1:5" ht="15.6" x14ac:dyDescent="0.3">
      <c r="A9" s="97" t="s">
        <v>5</v>
      </c>
      <c r="B9" s="98"/>
      <c r="C9" s="133">
        <v>10</v>
      </c>
      <c r="D9" s="134"/>
      <c r="E9" s="135"/>
    </row>
    <row r="10" spans="1:5" ht="15.6" x14ac:dyDescent="0.3">
      <c r="A10" s="97" t="s">
        <v>6</v>
      </c>
      <c r="B10" s="98"/>
      <c r="C10" s="133">
        <v>22000</v>
      </c>
      <c r="D10" s="134"/>
      <c r="E10" s="135"/>
    </row>
    <row r="11" spans="1:5" ht="15.6" x14ac:dyDescent="0.3">
      <c r="A11" s="50"/>
      <c r="B11" s="51" t="s">
        <v>56</v>
      </c>
      <c r="C11" s="50"/>
      <c r="D11" s="52">
        <f>C7*C9</f>
        <v>60673.599999999999</v>
      </c>
      <c r="E11" s="51"/>
    </row>
    <row r="12" spans="1:5" ht="15.6" x14ac:dyDescent="0.3">
      <c r="A12" s="50"/>
      <c r="B12" s="51" t="s">
        <v>64</v>
      </c>
      <c r="C12" s="50"/>
      <c r="D12" s="70">
        <f>D11+(C10/12)</f>
        <v>62506.933333333334</v>
      </c>
      <c r="E12" s="51"/>
    </row>
    <row r="13" spans="1:5" ht="15.6" x14ac:dyDescent="0.3">
      <c r="A13" s="97" t="s">
        <v>7</v>
      </c>
      <c r="B13" s="98"/>
      <c r="C13" s="97">
        <f>(C7*C9*12)+C10</f>
        <v>750083.2</v>
      </c>
      <c r="D13" s="104"/>
      <c r="E13" s="98"/>
    </row>
    <row r="14" spans="1:5" ht="15.6" x14ac:dyDescent="0.3">
      <c r="A14" s="97" t="s">
        <v>8</v>
      </c>
      <c r="B14" s="104"/>
      <c r="C14" s="104"/>
      <c r="D14" s="104"/>
      <c r="E14" s="98"/>
    </row>
    <row r="15" spans="1:5" ht="46.8" x14ac:dyDescent="0.3">
      <c r="A15" s="4"/>
      <c r="B15" s="10" t="s">
        <v>12</v>
      </c>
      <c r="C15" s="10" t="s">
        <v>13</v>
      </c>
      <c r="D15" s="11" t="s">
        <v>14</v>
      </c>
      <c r="E15" s="10" t="s">
        <v>15</v>
      </c>
    </row>
    <row r="16" spans="1:5" ht="18" x14ac:dyDescent="0.35">
      <c r="A16" s="23">
        <v>1</v>
      </c>
      <c r="B16" s="14" t="s">
        <v>9</v>
      </c>
      <c r="C16" s="21">
        <f>C17+C18</f>
        <v>15176.379733333333</v>
      </c>
      <c r="D16" s="21">
        <f>D17+D18</f>
        <v>2.6043368230443997</v>
      </c>
      <c r="E16" s="21">
        <f>E17+E18</f>
        <v>182116.55680000002</v>
      </c>
    </row>
    <row r="17" spans="1:5" ht="15.6" x14ac:dyDescent="0.3">
      <c r="A17" s="24" t="s">
        <v>10</v>
      </c>
      <c r="B17" s="8" t="s">
        <v>11</v>
      </c>
      <c r="C17" s="54">
        <f>(D11*13.8%)+(C10*13.8%/12)</f>
        <v>8625.9567999999999</v>
      </c>
      <c r="D17" s="54">
        <f>C17/C7</f>
        <v>1.4216985311568788</v>
      </c>
      <c r="E17" s="54">
        <f>C17*12</f>
        <v>103511.4816</v>
      </c>
    </row>
    <row r="18" spans="1:5" ht="15.6" x14ac:dyDescent="0.3">
      <c r="A18" s="4" t="s">
        <v>16</v>
      </c>
      <c r="B18" s="8" t="s">
        <v>17</v>
      </c>
      <c r="C18" s="62">
        <f>SUM(C19:C21)</f>
        <v>6550.4229333333333</v>
      </c>
      <c r="D18" s="62">
        <f>SUM(D19:D22)</f>
        <v>1.1826382918875207</v>
      </c>
      <c r="E18" s="62">
        <f t="shared" ref="E18" si="0">SUM(E19:E21)</f>
        <v>78605.075200000007</v>
      </c>
    </row>
    <row r="19" spans="1:5" ht="15.6" x14ac:dyDescent="0.3">
      <c r="A19" s="24" t="s">
        <v>18</v>
      </c>
      <c r="B19" s="8" t="s">
        <v>19</v>
      </c>
      <c r="C19" s="54">
        <f>E19/12</f>
        <v>2849.3333333333335</v>
      </c>
      <c r="D19" s="54">
        <f>C19/C7</f>
        <v>0.46961665919499312</v>
      </c>
      <c r="E19" s="54">
        <v>34192</v>
      </c>
    </row>
    <row r="20" spans="1:5" ht="42" x14ac:dyDescent="0.3">
      <c r="A20" s="24" t="s">
        <v>20</v>
      </c>
      <c r="B20" s="13" t="s">
        <v>21</v>
      </c>
      <c r="C20" s="54">
        <f>D20*C7</f>
        <v>1638.1872000000001</v>
      </c>
      <c r="D20" s="55">
        <v>0.27</v>
      </c>
      <c r="E20" s="54">
        <f>C20*12</f>
        <v>19658.2464</v>
      </c>
    </row>
    <row r="21" spans="1:5" ht="15.6" x14ac:dyDescent="0.3">
      <c r="A21" s="24" t="s">
        <v>22</v>
      </c>
      <c r="B21" s="8" t="s">
        <v>23</v>
      </c>
      <c r="C21" s="7">
        <f>D11*3.4%</f>
        <v>2062.9023999999999</v>
      </c>
      <c r="D21" s="7">
        <f>C21/C7</f>
        <v>0.34</v>
      </c>
      <c r="E21" s="7">
        <f>C21*12</f>
        <v>24754.828799999999</v>
      </c>
    </row>
    <row r="22" spans="1:5" ht="15.6" x14ac:dyDescent="0.3">
      <c r="A22" s="24" t="s">
        <v>66</v>
      </c>
      <c r="B22" s="8" t="s">
        <v>67</v>
      </c>
      <c r="C22" s="7">
        <f>E22/12</f>
        <v>625.06933333333325</v>
      </c>
      <c r="D22" s="7">
        <f>C22/C7</f>
        <v>0.10302163269252744</v>
      </c>
      <c r="E22" s="7">
        <f>C13*1%</f>
        <v>7500.8319999999994</v>
      </c>
    </row>
    <row r="23" spans="1:5" ht="18" x14ac:dyDescent="0.35">
      <c r="A23" s="25" t="s">
        <v>24</v>
      </c>
      <c r="B23" s="14" t="s">
        <v>25</v>
      </c>
      <c r="C23" s="21">
        <f>C24+C28+C34</f>
        <v>36432.397733333331</v>
      </c>
      <c r="D23" s="21">
        <f>D24+D28+D34</f>
        <v>6.0046540395383374</v>
      </c>
      <c r="E23" s="21">
        <f>E24+E28+E34</f>
        <v>437188.77279999998</v>
      </c>
    </row>
    <row r="24" spans="1:5" ht="17.399999999999999" x14ac:dyDescent="0.3">
      <c r="A24" s="65" t="s">
        <v>26</v>
      </c>
      <c r="B24" s="15" t="s">
        <v>27</v>
      </c>
      <c r="C24" s="22">
        <f>SUM(C25:C27)</f>
        <v>1417.3827999999999</v>
      </c>
      <c r="D24" s="22">
        <f>SUM(D25:D27)</f>
        <v>0.23360782943487776</v>
      </c>
      <c r="E24" s="22">
        <f>SUM(E25:E27)</f>
        <v>17008.5936</v>
      </c>
    </row>
    <row r="25" spans="1:5" ht="15.6" x14ac:dyDescent="0.3">
      <c r="A25" s="57" t="s">
        <v>28</v>
      </c>
      <c r="B25" s="13" t="s">
        <v>61</v>
      </c>
      <c r="C25" s="7">
        <f>D25*C7</f>
        <v>1092.1247999999998</v>
      </c>
      <c r="D25" s="2">
        <v>0.18</v>
      </c>
      <c r="E25" s="7">
        <f>C25*12</f>
        <v>13105.497599999999</v>
      </c>
    </row>
    <row r="26" spans="1:5" ht="15.6" x14ac:dyDescent="0.3">
      <c r="A26" s="57" t="s">
        <v>29</v>
      </c>
      <c r="B26" s="2" t="s">
        <v>30</v>
      </c>
      <c r="C26" s="7">
        <f>D26*C7</f>
        <v>303.36799999999999</v>
      </c>
      <c r="D26" s="2">
        <v>0.05</v>
      </c>
      <c r="E26" s="7">
        <f>C26*12</f>
        <v>3640.4160000000002</v>
      </c>
    </row>
    <row r="27" spans="1:5" ht="15.6" x14ac:dyDescent="0.3">
      <c r="A27" s="57" t="s">
        <v>31</v>
      </c>
      <c r="B27" s="55" t="s">
        <v>57</v>
      </c>
      <c r="C27" s="55">
        <f>E27/12</f>
        <v>21.89</v>
      </c>
      <c r="D27" s="56">
        <f>C27/C7</f>
        <v>3.6078294348777726E-3</v>
      </c>
      <c r="E27" s="55">
        <f>87.56*3</f>
        <v>262.68</v>
      </c>
    </row>
    <row r="28" spans="1:5" ht="17.399999999999999" x14ac:dyDescent="0.3">
      <c r="A28" s="65" t="s">
        <v>32</v>
      </c>
      <c r="B28" s="17" t="s">
        <v>33</v>
      </c>
      <c r="C28" s="22">
        <f>SUM(C29:C33)</f>
        <v>17761.094400000002</v>
      </c>
      <c r="D28" s="22">
        <f>SUM(D29:D33)</f>
        <v>2.9273183724057907</v>
      </c>
      <c r="E28" s="22">
        <f>SUM(E29:E33)</f>
        <v>213133.13280000002</v>
      </c>
    </row>
    <row r="29" spans="1:5" ht="15.6" x14ac:dyDescent="0.3">
      <c r="A29" s="57" t="s">
        <v>34</v>
      </c>
      <c r="B29" s="13" t="s">
        <v>62</v>
      </c>
      <c r="C29" s="7">
        <f>D29*C7</f>
        <v>10617.88</v>
      </c>
      <c r="D29" s="2">
        <v>1.75</v>
      </c>
      <c r="E29" s="7">
        <f>C29*12</f>
        <v>127414.56</v>
      </c>
    </row>
    <row r="30" spans="1:5" ht="15.6" x14ac:dyDescent="0.3">
      <c r="A30" s="57" t="s">
        <v>35</v>
      </c>
      <c r="B30" s="55" t="s">
        <v>36</v>
      </c>
      <c r="C30" s="55">
        <v>2350</v>
      </c>
      <c r="D30" s="54">
        <f>C30/C7</f>
        <v>0.38731837240579103</v>
      </c>
      <c r="E30" s="2">
        <f>C30*12</f>
        <v>28200</v>
      </c>
    </row>
    <row r="31" spans="1:5" ht="15.6" x14ac:dyDescent="0.3">
      <c r="A31" s="57" t="s">
        <v>37</v>
      </c>
      <c r="B31" s="2" t="s">
        <v>30</v>
      </c>
      <c r="C31" s="7">
        <f>D31*C7</f>
        <v>546.06239999999991</v>
      </c>
      <c r="D31" s="2">
        <v>0.09</v>
      </c>
      <c r="E31" s="7">
        <f>C31*12</f>
        <v>6552.7487999999994</v>
      </c>
    </row>
    <row r="32" spans="1:5" ht="15.6" x14ac:dyDescent="0.3">
      <c r="A32" s="57" t="s">
        <v>38</v>
      </c>
      <c r="B32" s="2" t="s">
        <v>40</v>
      </c>
      <c r="C32" s="7">
        <f>D32*C7</f>
        <v>182.02079999999998</v>
      </c>
      <c r="D32" s="2">
        <v>0.03</v>
      </c>
      <c r="E32" s="7">
        <f>C32*12</f>
        <v>2184.2495999999996</v>
      </c>
    </row>
    <row r="33" spans="1:5" ht="15.6" x14ac:dyDescent="0.3">
      <c r="A33" s="57" t="s">
        <v>39</v>
      </c>
      <c r="B33" s="2" t="s">
        <v>41</v>
      </c>
      <c r="C33" s="7">
        <f>D33*C7</f>
        <v>4065.1311999999998</v>
      </c>
      <c r="D33" s="2">
        <v>0.67</v>
      </c>
      <c r="E33" s="7">
        <f>C33*12</f>
        <v>48781.574399999998</v>
      </c>
    </row>
    <row r="34" spans="1:5" ht="31.2" x14ac:dyDescent="0.3">
      <c r="A34" s="65" t="s">
        <v>42</v>
      </c>
      <c r="B34" s="18" t="s">
        <v>43</v>
      </c>
      <c r="C34" s="22">
        <f>SUM(C35:C40)</f>
        <v>17253.920533333334</v>
      </c>
      <c r="D34" s="22">
        <f>SUM(D35:D40)</f>
        <v>2.8437278376976693</v>
      </c>
      <c r="E34" s="22">
        <f>SUM(E35:E40)</f>
        <v>207047.04639999996</v>
      </c>
    </row>
    <row r="35" spans="1:5" ht="27" x14ac:dyDescent="0.3">
      <c r="A35" s="57" t="s">
        <v>44</v>
      </c>
      <c r="B35" s="12" t="s">
        <v>73</v>
      </c>
      <c r="C35" s="7">
        <f>D35*C7</f>
        <v>15350.420799999998</v>
      </c>
      <c r="D35" s="2">
        <v>2.5299999999999998</v>
      </c>
      <c r="E35" s="7">
        <f>C35*12</f>
        <v>184205.04959999997</v>
      </c>
    </row>
    <row r="36" spans="1:5" ht="15.6" x14ac:dyDescent="0.3">
      <c r="A36" s="57" t="s">
        <v>46</v>
      </c>
      <c r="B36" s="58" t="s">
        <v>45</v>
      </c>
      <c r="C36" s="54">
        <f>D36*C7</f>
        <v>546.06239999999991</v>
      </c>
      <c r="D36" s="55">
        <v>0.09</v>
      </c>
      <c r="E36" s="54">
        <f t="shared" ref="E36:E40" si="1">C36*12</f>
        <v>6552.7487999999994</v>
      </c>
    </row>
    <row r="37" spans="1:5" ht="15.6" x14ac:dyDescent="0.3">
      <c r="A37" s="57" t="s">
        <v>47</v>
      </c>
      <c r="B37" s="55" t="s">
        <v>48</v>
      </c>
      <c r="C37" s="54">
        <f>D37*C7</f>
        <v>121.3472</v>
      </c>
      <c r="D37" s="55">
        <v>0.02</v>
      </c>
      <c r="E37" s="54">
        <f t="shared" si="1"/>
        <v>1456.1664000000001</v>
      </c>
    </row>
    <row r="38" spans="1:5" ht="15.6" x14ac:dyDescent="0.3">
      <c r="A38" s="57" t="s">
        <v>49</v>
      </c>
      <c r="B38" s="55" t="s">
        <v>50</v>
      </c>
      <c r="C38" s="54">
        <f>D38*C7</f>
        <v>182.02079999999998</v>
      </c>
      <c r="D38" s="55">
        <v>0.03</v>
      </c>
      <c r="E38" s="54">
        <f t="shared" si="1"/>
        <v>2184.2495999999996</v>
      </c>
    </row>
    <row r="39" spans="1:5" ht="15.6" x14ac:dyDescent="0.3">
      <c r="A39" s="57" t="s">
        <v>51</v>
      </c>
      <c r="B39" s="55" t="s">
        <v>123</v>
      </c>
      <c r="C39" s="59">
        <f>E39/12</f>
        <v>447.33333333333331</v>
      </c>
      <c r="D39" s="59">
        <f>C39/C7</f>
        <v>7.3727837697669718E-2</v>
      </c>
      <c r="E39" s="59">
        <f>C8*4*2</f>
        <v>5368</v>
      </c>
    </row>
    <row r="40" spans="1:5" ht="15.6" x14ac:dyDescent="0.3">
      <c r="A40" s="57" t="s">
        <v>53</v>
      </c>
      <c r="B40" s="2" t="s">
        <v>30</v>
      </c>
      <c r="C40" s="7">
        <f>D40*C7</f>
        <v>606.73599999999999</v>
      </c>
      <c r="D40" s="2">
        <v>0.1</v>
      </c>
      <c r="E40" s="7">
        <f t="shared" si="1"/>
        <v>7280.8320000000003</v>
      </c>
    </row>
    <row r="41" spans="1:5" ht="17.399999999999999" x14ac:dyDescent="0.3">
      <c r="A41" s="26" t="s">
        <v>68</v>
      </c>
      <c r="B41" s="16" t="s">
        <v>59</v>
      </c>
      <c r="C41" s="22">
        <f>D41*C7</f>
        <v>8439.7532000000028</v>
      </c>
      <c r="D41" s="22">
        <f>C9-D16-D23</f>
        <v>1.3910091374172628</v>
      </c>
      <c r="E41" s="22">
        <f>C41*12</f>
        <v>101277.03840000003</v>
      </c>
    </row>
    <row r="42" spans="1:5" ht="15.6" x14ac:dyDescent="0.3">
      <c r="A42" s="24" t="s">
        <v>77</v>
      </c>
      <c r="B42" s="2" t="s">
        <v>78</v>
      </c>
      <c r="C42" s="7">
        <f>E42/12</f>
        <v>1689.7533333333333</v>
      </c>
      <c r="D42" s="7">
        <f>C42/C7</f>
        <v>0.27849894078039433</v>
      </c>
      <c r="E42" s="55">
        <v>20277.04</v>
      </c>
    </row>
    <row r="43" spans="1:5" ht="15.6" x14ac:dyDescent="0.3">
      <c r="A43" s="24" t="s">
        <v>79</v>
      </c>
      <c r="B43" s="2" t="s">
        <v>97</v>
      </c>
      <c r="C43" s="7">
        <f>E43/12</f>
        <v>5833.333333333333</v>
      </c>
      <c r="D43" s="7">
        <f>C43/C7</f>
        <v>0.96142858398600595</v>
      </c>
      <c r="E43" s="55">
        <v>70000</v>
      </c>
    </row>
    <row r="44" spans="1:5" ht="15.6" x14ac:dyDescent="0.3">
      <c r="A44" s="24" t="s">
        <v>80</v>
      </c>
      <c r="B44" s="2" t="s">
        <v>155</v>
      </c>
      <c r="C44" s="7">
        <f>E44/12</f>
        <v>916.66666666666663</v>
      </c>
      <c r="D44" s="7">
        <f>C44/C7</f>
        <v>0.15108163462637236</v>
      </c>
      <c r="E44" s="55">
        <v>11000</v>
      </c>
    </row>
    <row r="45" spans="1:5" ht="15.6" x14ac:dyDescent="0.3">
      <c r="A45" s="24" t="s">
        <v>81</v>
      </c>
      <c r="B45" s="2"/>
      <c r="C45" s="7">
        <f>E45/12</f>
        <v>0</v>
      </c>
      <c r="D45" s="7">
        <f>C45/C7</f>
        <v>0</v>
      </c>
      <c r="E45" s="55"/>
    </row>
    <row r="46" spans="1:5" ht="15.6" x14ac:dyDescent="0.3">
      <c r="A46" s="24" t="s">
        <v>82</v>
      </c>
      <c r="B46" s="2"/>
      <c r="C46" s="7">
        <f>E46/12</f>
        <v>0</v>
      </c>
      <c r="D46" s="7">
        <f>C46/C7</f>
        <v>0</v>
      </c>
      <c r="E46" s="55"/>
    </row>
    <row r="47" spans="1:5" ht="15.6" x14ac:dyDescent="0.3">
      <c r="A47" s="24" t="s">
        <v>83</v>
      </c>
      <c r="B47" s="2"/>
      <c r="C47" s="7">
        <f t="shared" ref="C47:C50" si="2">E47/12</f>
        <v>0</v>
      </c>
      <c r="D47" s="7">
        <f>C47/C7</f>
        <v>0</v>
      </c>
      <c r="E47" s="55"/>
    </row>
    <row r="48" spans="1:5" ht="15.6" x14ac:dyDescent="0.3">
      <c r="A48" s="24" t="s">
        <v>132</v>
      </c>
      <c r="B48" s="2"/>
      <c r="C48" s="7">
        <f t="shared" si="2"/>
        <v>0</v>
      </c>
      <c r="D48" s="7">
        <f>C48/C7</f>
        <v>0</v>
      </c>
      <c r="E48" s="55"/>
    </row>
    <row r="49" spans="1:5" ht="15.6" x14ac:dyDescent="0.3">
      <c r="A49" s="38" t="s">
        <v>133</v>
      </c>
      <c r="B49" s="2"/>
      <c r="C49" s="7">
        <f t="shared" si="2"/>
        <v>0</v>
      </c>
      <c r="D49" s="7">
        <f>C49/C7</f>
        <v>0</v>
      </c>
      <c r="E49" s="55"/>
    </row>
    <row r="50" spans="1:5" ht="15.6" x14ac:dyDescent="0.3">
      <c r="A50" s="24" t="s">
        <v>134</v>
      </c>
      <c r="B50" s="2"/>
      <c r="C50" s="7">
        <f t="shared" si="2"/>
        <v>0</v>
      </c>
      <c r="D50" s="7">
        <f>C50/C7</f>
        <v>0</v>
      </c>
      <c r="E50" s="55"/>
    </row>
    <row r="51" spans="1:5" ht="15.6" x14ac:dyDescent="0.3">
      <c r="A51" s="24"/>
      <c r="B51" s="2"/>
      <c r="C51" s="7"/>
      <c r="D51" s="7"/>
      <c r="E51" s="55"/>
    </row>
    <row r="52" spans="1:5" ht="15.6" x14ac:dyDescent="0.3">
      <c r="A52" s="24"/>
      <c r="B52" s="2"/>
      <c r="C52" s="7"/>
      <c r="D52" s="7"/>
      <c r="E52" s="55"/>
    </row>
    <row r="53" spans="1:5" ht="15.6" x14ac:dyDescent="0.3">
      <c r="A53" s="24"/>
      <c r="B53" s="2"/>
      <c r="C53" s="7"/>
      <c r="D53" s="7"/>
      <c r="E53" s="55"/>
    </row>
    <row r="54" spans="1:5" ht="15.6" x14ac:dyDescent="0.3">
      <c r="A54" s="24"/>
      <c r="B54" s="2"/>
      <c r="C54" s="7"/>
      <c r="D54" s="7"/>
      <c r="E54" s="55"/>
    </row>
    <row r="55" spans="1:5" ht="15.6" x14ac:dyDescent="0.3">
      <c r="A55" s="24"/>
      <c r="B55" s="2"/>
      <c r="C55" s="7"/>
      <c r="D55" s="7"/>
      <c r="E55" s="55"/>
    </row>
    <row r="56" spans="1:5" ht="15.6" x14ac:dyDescent="0.3">
      <c r="A56" s="24"/>
      <c r="B56" s="40" t="s">
        <v>70</v>
      </c>
      <c r="C56" s="41">
        <f>SUM(C42:C55)</f>
        <v>8439.7533333333322</v>
      </c>
      <c r="D56" s="41">
        <f>SUM(D42:D55)</f>
        <v>1.3910091593927727</v>
      </c>
      <c r="E56" s="40">
        <f>SUM(E42:E55)</f>
        <v>101277.04000000001</v>
      </c>
    </row>
    <row r="57" spans="1:5" ht="15.6" x14ac:dyDescent="0.3">
      <c r="A57" s="31"/>
      <c r="B57" s="32" t="s">
        <v>60</v>
      </c>
      <c r="C57" s="30">
        <f>D57*C7</f>
        <v>60673.599999999999</v>
      </c>
      <c r="D57" s="30">
        <f>D41+D23+D16</f>
        <v>10</v>
      </c>
      <c r="E57" s="30">
        <f>C57*12</f>
        <v>728083.2</v>
      </c>
    </row>
    <row r="58" spans="1:5" ht="15.6" x14ac:dyDescent="0.3">
      <c r="A58" s="31" t="s">
        <v>69</v>
      </c>
      <c r="B58" s="16" t="s">
        <v>65</v>
      </c>
      <c r="C58" s="16">
        <f>D58*C7</f>
        <v>1833.3333333333335</v>
      </c>
      <c r="D58" s="22">
        <f>C10/C7/12</f>
        <v>0.30216326925274478</v>
      </c>
      <c r="E58" s="16">
        <f>C58*12</f>
        <v>22000</v>
      </c>
    </row>
    <row r="59" spans="1:5" ht="15.6" x14ac:dyDescent="0.3">
      <c r="A59" s="24" t="s">
        <v>74</v>
      </c>
      <c r="B59" s="55" t="s">
        <v>72</v>
      </c>
      <c r="C59" s="76">
        <f>E59/12</f>
        <v>1833.3333333333333</v>
      </c>
      <c r="D59" s="54">
        <f>C59/C7</f>
        <v>0.30216326925274473</v>
      </c>
      <c r="E59" s="55">
        <v>22000</v>
      </c>
    </row>
    <row r="60" spans="1:5" ht="15.6" x14ac:dyDescent="0.3">
      <c r="A60" s="24" t="s">
        <v>75</v>
      </c>
      <c r="B60" s="55"/>
      <c r="C60" s="76"/>
      <c r="D60" s="54"/>
      <c r="E60" s="55"/>
    </row>
    <row r="61" spans="1:5" ht="15.6" x14ac:dyDescent="0.3">
      <c r="A61" s="24"/>
      <c r="B61" s="55"/>
      <c r="C61" s="76"/>
      <c r="D61" s="54"/>
      <c r="E61" s="55"/>
    </row>
    <row r="62" spans="1:5" ht="15.6" x14ac:dyDescent="0.3">
      <c r="A62" s="4"/>
      <c r="B62" s="42" t="s">
        <v>70</v>
      </c>
      <c r="C62" s="42"/>
      <c r="D62" s="43">
        <f>SUM(D59:D61)</f>
        <v>0.30216326925274473</v>
      </c>
      <c r="E62" s="42"/>
    </row>
    <row r="63" spans="1:5" x14ac:dyDescent="0.3">
      <c r="A63" s="119" t="s">
        <v>166</v>
      </c>
      <c r="B63" s="120"/>
      <c r="C63" s="120"/>
      <c r="D63" s="120"/>
      <c r="E63" s="121"/>
    </row>
    <row r="64" spans="1:5" x14ac:dyDescent="0.3">
      <c r="A64" s="122"/>
      <c r="B64" s="123"/>
      <c r="C64" s="123"/>
      <c r="D64" s="123"/>
      <c r="E64" s="124"/>
    </row>
    <row r="65" spans="1:5" x14ac:dyDescent="0.3">
      <c r="A65" s="122"/>
      <c r="B65" s="123"/>
      <c r="C65" s="123"/>
      <c r="D65" s="123"/>
      <c r="E65" s="124"/>
    </row>
    <row r="66" spans="1:5" x14ac:dyDescent="0.3">
      <c r="A66" s="125"/>
      <c r="B66" s="126"/>
      <c r="C66" s="126"/>
      <c r="D66" s="126"/>
      <c r="E66" s="127"/>
    </row>
    <row r="67" spans="1:5" ht="42" customHeight="1" x14ac:dyDescent="0.3">
      <c r="A67" s="114" t="s">
        <v>167</v>
      </c>
      <c r="B67" s="115"/>
      <c r="C67" s="3"/>
      <c r="D67" s="3"/>
      <c r="E67" s="3"/>
    </row>
  </sheetData>
  <mergeCells count="18">
    <mergeCell ref="A10:B10"/>
    <mergeCell ref="C10:E10"/>
    <mergeCell ref="A63:E66"/>
    <mergeCell ref="A67:B67"/>
    <mergeCell ref="A7:B7"/>
    <mergeCell ref="C7:E7"/>
    <mergeCell ref="A13:B13"/>
    <mergeCell ref="C13:E13"/>
    <mergeCell ref="A14:E14"/>
    <mergeCell ref="A8:B8"/>
    <mergeCell ref="C8:E8"/>
    <mergeCell ref="A9:B9"/>
    <mergeCell ref="C9:E9"/>
    <mergeCell ref="A2:E4"/>
    <mergeCell ref="A5:B5"/>
    <mergeCell ref="C5:E5"/>
    <mergeCell ref="A6:B6"/>
    <mergeCell ref="C6:E6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68"/>
  <sheetViews>
    <sheetView topLeftCell="A43" workbookViewId="0">
      <selection activeCell="G60" sqref="G60"/>
    </sheetView>
  </sheetViews>
  <sheetFormatPr defaultRowHeight="13.8" x14ac:dyDescent="0.3"/>
  <cols>
    <col min="1" max="1" width="8.5546875" style="29" customWidth="1"/>
    <col min="2" max="2" width="51.88671875" customWidth="1"/>
    <col min="3" max="3" width="11.6640625" customWidth="1"/>
    <col min="4" max="4" width="11.88671875" customWidth="1"/>
    <col min="5" max="5" width="12.33203125" customWidth="1"/>
  </cols>
  <sheetData>
    <row r="2" spans="1:9" x14ac:dyDescent="0.3">
      <c r="A2" s="102" t="s">
        <v>95</v>
      </c>
      <c r="B2" s="102"/>
      <c r="C2" s="102"/>
      <c r="D2" s="102"/>
      <c r="E2" s="102"/>
    </row>
    <row r="3" spans="1:9" x14ac:dyDescent="0.3">
      <c r="A3" s="102"/>
      <c r="B3" s="102"/>
      <c r="C3" s="102"/>
      <c r="D3" s="102"/>
      <c r="E3" s="102"/>
    </row>
    <row r="4" spans="1:9" x14ac:dyDescent="0.3">
      <c r="A4" s="103"/>
      <c r="B4" s="103"/>
      <c r="C4" s="103"/>
      <c r="D4" s="103"/>
      <c r="E4" s="103"/>
    </row>
    <row r="5" spans="1:9" ht="15.6" x14ac:dyDescent="0.3">
      <c r="A5" s="97" t="s">
        <v>0</v>
      </c>
      <c r="B5" s="98"/>
      <c r="C5" s="97" t="s">
        <v>1</v>
      </c>
      <c r="D5" s="104"/>
      <c r="E5" s="98"/>
    </row>
    <row r="6" spans="1:9" ht="15.6" x14ac:dyDescent="0.3">
      <c r="A6" s="97" t="s">
        <v>2</v>
      </c>
      <c r="B6" s="98"/>
      <c r="C6" s="133">
        <v>4</v>
      </c>
      <c r="D6" s="134"/>
      <c r="E6" s="135"/>
    </row>
    <row r="7" spans="1:9" ht="15.6" x14ac:dyDescent="0.3">
      <c r="A7" s="97" t="s">
        <v>3</v>
      </c>
      <c r="B7" s="98"/>
      <c r="C7" s="133">
        <v>7089.1</v>
      </c>
      <c r="D7" s="134"/>
      <c r="E7" s="135"/>
    </row>
    <row r="8" spans="1:9" ht="15.6" x14ac:dyDescent="0.3">
      <c r="A8" s="97" t="s">
        <v>4</v>
      </c>
      <c r="B8" s="98"/>
      <c r="C8" s="133">
        <v>873</v>
      </c>
      <c r="D8" s="134"/>
      <c r="E8" s="135"/>
    </row>
    <row r="9" spans="1:9" ht="15.6" x14ac:dyDescent="0.3">
      <c r="A9" s="97" t="s">
        <v>5</v>
      </c>
      <c r="B9" s="98"/>
      <c r="C9" s="133">
        <v>11</v>
      </c>
      <c r="D9" s="134"/>
      <c r="E9" s="135"/>
    </row>
    <row r="10" spans="1:9" ht="15.6" x14ac:dyDescent="0.3">
      <c r="A10" s="97" t="s">
        <v>6</v>
      </c>
      <c r="B10" s="98"/>
      <c r="C10" s="133">
        <v>257400</v>
      </c>
      <c r="D10" s="134"/>
      <c r="E10" s="135"/>
      <c r="F10" s="136" t="s">
        <v>127</v>
      </c>
      <c r="G10" s="137"/>
      <c r="H10" s="137"/>
      <c r="I10" s="137"/>
    </row>
    <row r="11" spans="1:9" ht="15.6" x14ac:dyDescent="0.3">
      <c r="A11" s="50"/>
      <c r="B11" s="51" t="s">
        <v>56</v>
      </c>
      <c r="C11" s="50"/>
      <c r="D11" s="52">
        <f>C7*C9</f>
        <v>77980.100000000006</v>
      </c>
      <c r="E11" s="51"/>
    </row>
    <row r="12" spans="1:9" ht="15.6" x14ac:dyDescent="0.3">
      <c r="A12" s="50"/>
      <c r="B12" s="51" t="s">
        <v>64</v>
      </c>
      <c r="C12" s="50"/>
      <c r="D12" s="70">
        <f>D11+(C10/12)</f>
        <v>99430.1</v>
      </c>
      <c r="E12" s="51"/>
    </row>
    <row r="13" spans="1:9" ht="15.6" x14ac:dyDescent="0.3">
      <c r="A13" s="97" t="s">
        <v>7</v>
      </c>
      <c r="B13" s="98"/>
      <c r="C13" s="97">
        <f>(C7*C9*12)+C10</f>
        <v>1193161.2000000002</v>
      </c>
      <c r="D13" s="104"/>
      <c r="E13" s="98"/>
    </row>
    <row r="14" spans="1:9" ht="15.6" x14ac:dyDescent="0.3">
      <c r="A14" s="97" t="s">
        <v>8</v>
      </c>
      <c r="B14" s="104"/>
      <c r="C14" s="104"/>
      <c r="D14" s="104"/>
      <c r="E14" s="98"/>
    </row>
    <row r="15" spans="1:9" ht="46.8" x14ac:dyDescent="0.3">
      <c r="A15" s="4"/>
      <c r="B15" s="10" t="s">
        <v>12</v>
      </c>
      <c r="C15" s="10" t="s">
        <v>13</v>
      </c>
      <c r="D15" s="11" t="s">
        <v>14</v>
      </c>
      <c r="E15" s="10" t="s">
        <v>15</v>
      </c>
    </row>
    <row r="16" spans="1:9" ht="18" x14ac:dyDescent="0.35">
      <c r="A16" s="23">
        <v>1</v>
      </c>
      <c r="B16" s="14" t="s">
        <v>9</v>
      </c>
      <c r="C16" s="21">
        <f>C17+C18</f>
        <v>20676.40086666667</v>
      </c>
      <c r="D16" s="21">
        <f>D17+D18</f>
        <v>3.0569045247868796</v>
      </c>
      <c r="E16" s="21">
        <f>E17+E18</f>
        <v>248116.81040000002</v>
      </c>
    </row>
    <row r="17" spans="1:5" ht="15.6" x14ac:dyDescent="0.3">
      <c r="A17" s="24" t="s">
        <v>10</v>
      </c>
      <c r="B17" s="8" t="s">
        <v>11</v>
      </c>
      <c r="C17" s="54">
        <f>(D11*13.8%)+(C10*13.8%/12)</f>
        <v>13721.353800000003</v>
      </c>
      <c r="D17" s="54">
        <f>C17/C7</f>
        <v>1.935556530448153</v>
      </c>
      <c r="E17" s="54">
        <f>C17*12</f>
        <v>164656.24560000002</v>
      </c>
    </row>
    <row r="18" spans="1:5" ht="15.6" x14ac:dyDescent="0.3">
      <c r="A18" s="4" t="s">
        <v>16</v>
      </c>
      <c r="B18" s="8" t="s">
        <v>17</v>
      </c>
      <c r="C18" s="62">
        <f>SUM(C19:C21)</f>
        <v>6955.047066666667</v>
      </c>
      <c r="D18" s="62">
        <f>SUM(D19:D22)</f>
        <v>1.1213479943387266</v>
      </c>
      <c r="E18" s="62">
        <f t="shared" ref="E18" si="0">SUM(E19:E21)</f>
        <v>83460.564800000007</v>
      </c>
    </row>
    <row r="19" spans="1:5" ht="15.6" x14ac:dyDescent="0.3">
      <c r="A19" s="24" t="s">
        <v>18</v>
      </c>
      <c r="B19" s="8" t="s">
        <v>19</v>
      </c>
      <c r="C19" s="54">
        <f>E19/12</f>
        <v>2389.6666666666665</v>
      </c>
      <c r="D19" s="54">
        <f>C19/C7</f>
        <v>0.33709027474103431</v>
      </c>
      <c r="E19" s="54">
        <v>28676</v>
      </c>
    </row>
    <row r="20" spans="1:5" ht="42" x14ac:dyDescent="0.3">
      <c r="A20" s="24" t="s">
        <v>20</v>
      </c>
      <c r="B20" s="13" t="s">
        <v>21</v>
      </c>
      <c r="C20" s="54">
        <f>D20*C7</f>
        <v>1914.0570000000002</v>
      </c>
      <c r="D20" s="55">
        <v>0.27</v>
      </c>
      <c r="E20" s="54">
        <f>C20*12</f>
        <v>22968.684000000001</v>
      </c>
    </row>
    <row r="21" spans="1:5" ht="15.6" x14ac:dyDescent="0.3">
      <c r="A21" s="24" t="s">
        <v>22</v>
      </c>
      <c r="B21" s="8" t="s">
        <v>23</v>
      </c>
      <c r="C21" s="7">
        <f>D11*3.4%</f>
        <v>2651.3234000000002</v>
      </c>
      <c r="D21" s="7">
        <f>C21/C7</f>
        <v>0.374</v>
      </c>
      <c r="E21" s="7">
        <f>C21*12</f>
        <v>31815.880800000003</v>
      </c>
    </row>
    <row r="22" spans="1:5" ht="15.6" x14ac:dyDescent="0.3">
      <c r="A22" s="24" t="s">
        <v>66</v>
      </c>
      <c r="B22" s="8" t="s">
        <v>67</v>
      </c>
      <c r="C22" s="7">
        <f>E22/12</f>
        <v>994.30100000000027</v>
      </c>
      <c r="D22" s="7">
        <f>C22/C7</f>
        <v>0.14025771959769226</v>
      </c>
      <c r="E22" s="7">
        <f>C13*1%</f>
        <v>11931.612000000003</v>
      </c>
    </row>
    <row r="23" spans="1:5" ht="18" x14ac:dyDescent="0.35">
      <c r="A23" s="25" t="s">
        <v>24</v>
      </c>
      <c r="B23" s="14" t="s">
        <v>25</v>
      </c>
      <c r="C23" s="21">
        <f>C24+C28+C34</f>
        <v>42234.800666666662</v>
      </c>
      <c r="D23" s="21">
        <f>D24+D28+D34</f>
        <v>6.5422786155271231</v>
      </c>
      <c r="E23" s="21">
        <f>E24+E28+E34</f>
        <v>506817.60800000001</v>
      </c>
    </row>
    <row r="24" spans="1:5" ht="17.399999999999999" x14ac:dyDescent="0.3">
      <c r="A24" s="65" t="s">
        <v>26</v>
      </c>
      <c r="B24" s="15" t="s">
        <v>27</v>
      </c>
      <c r="C24" s="22">
        <f>SUM(C25:C27)</f>
        <v>1659.6796666666667</v>
      </c>
      <c r="D24" s="22">
        <f>SUM(D25:D27)</f>
        <v>0.23411711876919025</v>
      </c>
      <c r="E24" s="22">
        <f>SUM(E25:E27)</f>
        <v>19916.156000000003</v>
      </c>
    </row>
    <row r="25" spans="1:5" ht="15.6" x14ac:dyDescent="0.3">
      <c r="A25" s="57" t="s">
        <v>28</v>
      </c>
      <c r="B25" s="13" t="s">
        <v>61</v>
      </c>
      <c r="C25" s="7">
        <f>D25*C7</f>
        <v>1276.038</v>
      </c>
      <c r="D25" s="2">
        <v>0.18</v>
      </c>
      <c r="E25" s="7">
        <f>C25*12</f>
        <v>15312.456</v>
      </c>
    </row>
    <row r="26" spans="1:5" ht="15.6" x14ac:dyDescent="0.3">
      <c r="A26" s="57" t="s">
        <v>29</v>
      </c>
      <c r="B26" s="2" t="s">
        <v>30</v>
      </c>
      <c r="C26" s="7">
        <f>D26*C7</f>
        <v>354.45500000000004</v>
      </c>
      <c r="D26" s="2">
        <v>0.05</v>
      </c>
      <c r="E26" s="7">
        <f>C26*12</f>
        <v>4253.4600000000009</v>
      </c>
    </row>
    <row r="27" spans="1:5" ht="15.6" x14ac:dyDescent="0.3">
      <c r="A27" s="57" t="s">
        <v>31</v>
      </c>
      <c r="B27" s="55" t="s">
        <v>57</v>
      </c>
      <c r="C27" s="54">
        <f>E27/12</f>
        <v>29.186666666666667</v>
      </c>
      <c r="D27" s="56">
        <f>C27/C7</f>
        <v>4.1171187691902587E-3</v>
      </c>
      <c r="E27" s="55">
        <f>87.56*4</f>
        <v>350.24</v>
      </c>
    </row>
    <row r="28" spans="1:5" ht="17.399999999999999" x14ac:dyDescent="0.3">
      <c r="A28" s="65" t="s">
        <v>32</v>
      </c>
      <c r="B28" s="17" t="s">
        <v>33</v>
      </c>
      <c r="C28" s="22">
        <f>SUM(C29:C33)</f>
        <v>20356.314000000002</v>
      </c>
      <c r="D28" s="22">
        <f>SUM(D29:D33)</f>
        <v>2.8714948300912666</v>
      </c>
      <c r="E28" s="22">
        <f>SUM(E29:E33)</f>
        <v>244275.76800000001</v>
      </c>
    </row>
    <row r="29" spans="1:5" ht="15.6" x14ac:dyDescent="0.3">
      <c r="A29" s="57" t="s">
        <v>34</v>
      </c>
      <c r="B29" s="13" t="s">
        <v>62</v>
      </c>
      <c r="C29" s="7">
        <f>D29*C7</f>
        <v>12405.925000000001</v>
      </c>
      <c r="D29" s="2">
        <v>1.75</v>
      </c>
      <c r="E29" s="7">
        <f>C29*12</f>
        <v>148871.1</v>
      </c>
    </row>
    <row r="30" spans="1:5" ht="15.6" x14ac:dyDescent="0.3">
      <c r="A30" s="57" t="s">
        <v>35</v>
      </c>
      <c r="B30" s="55" t="s">
        <v>36</v>
      </c>
      <c r="C30" s="55">
        <v>2350</v>
      </c>
      <c r="D30" s="54">
        <f>C30/C7</f>
        <v>0.33149483009126685</v>
      </c>
      <c r="E30" s="2">
        <f>C30*12</f>
        <v>28200</v>
      </c>
    </row>
    <row r="31" spans="1:5" ht="15.6" x14ac:dyDescent="0.3">
      <c r="A31" s="57" t="s">
        <v>37</v>
      </c>
      <c r="B31" s="2" t="s">
        <v>30</v>
      </c>
      <c r="C31" s="7">
        <f>D31*C7</f>
        <v>638.01900000000001</v>
      </c>
      <c r="D31" s="2">
        <v>0.09</v>
      </c>
      <c r="E31" s="7">
        <f>C31*12</f>
        <v>7656.2280000000001</v>
      </c>
    </row>
    <row r="32" spans="1:5" ht="15.6" x14ac:dyDescent="0.3">
      <c r="A32" s="57" t="s">
        <v>38</v>
      </c>
      <c r="B32" s="2" t="s">
        <v>40</v>
      </c>
      <c r="C32" s="7">
        <f>D32*C7</f>
        <v>212.673</v>
      </c>
      <c r="D32" s="2">
        <v>0.03</v>
      </c>
      <c r="E32" s="7">
        <f>C32*12</f>
        <v>2552.076</v>
      </c>
    </row>
    <row r="33" spans="1:5" ht="15.6" x14ac:dyDescent="0.3">
      <c r="A33" s="57" t="s">
        <v>39</v>
      </c>
      <c r="B33" s="2" t="s">
        <v>41</v>
      </c>
      <c r="C33" s="7">
        <f>D33*C7</f>
        <v>4749.6970000000001</v>
      </c>
      <c r="D33" s="2">
        <v>0.67</v>
      </c>
      <c r="E33" s="7">
        <f>C33*12</f>
        <v>56996.364000000001</v>
      </c>
    </row>
    <row r="34" spans="1:5" ht="31.2" x14ac:dyDescent="0.3">
      <c r="A34" s="65" t="s">
        <v>42</v>
      </c>
      <c r="B34" s="18" t="s">
        <v>43</v>
      </c>
      <c r="C34" s="22">
        <f>SUM(C35:C40)</f>
        <v>20218.806999999997</v>
      </c>
      <c r="D34" s="22">
        <f>SUM(D35:D40)</f>
        <v>3.4366666666666661</v>
      </c>
      <c r="E34" s="22">
        <f>SUM(E35:E40)</f>
        <v>242625.68400000001</v>
      </c>
    </row>
    <row r="35" spans="1:5" ht="27" x14ac:dyDescent="0.3">
      <c r="A35" s="57" t="s">
        <v>44</v>
      </c>
      <c r="B35" s="12" t="s">
        <v>73</v>
      </c>
      <c r="C35" s="7">
        <f>D35*C7</f>
        <v>17935.422999999999</v>
      </c>
      <c r="D35" s="2">
        <v>2.5299999999999998</v>
      </c>
      <c r="E35" s="7">
        <f>C35*12</f>
        <v>215225.076</v>
      </c>
    </row>
    <row r="36" spans="1:5" ht="15.6" x14ac:dyDescent="0.3">
      <c r="A36" s="57" t="s">
        <v>46</v>
      </c>
      <c r="B36" s="58" t="s">
        <v>45</v>
      </c>
      <c r="C36" s="54">
        <f>D36*C7</f>
        <v>638.01900000000001</v>
      </c>
      <c r="D36" s="55">
        <v>0.09</v>
      </c>
      <c r="E36" s="54">
        <f t="shared" ref="E36:E40" si="1">C36*12</f>
        <v>7656.2280000000001</v>
      </c>
    </row>
    <row r="37" spans="1:5" ht="15.6" x14ac:dyDescent="0.3">
      <c r="A37" s="57" t="s">
        <v>47</v>
      </c>
      <c r="B37" s="55" t="s">
        <v>48</v>
      </c>
      <c r="C37" s="54">
        <f>D37*C7</f>
        <v>141.78200000000001</v>
      </c>
      <c r="D37" s="55">
        <v>0.02</v>
      </c>
      <c r="E37" s="54">
        <f t="shared" si="1"/>
        <v>1701.384</v>
      </c>
    </row>
    <row r="38" spans="1:5" ht="15.6" x14ac:dyDescent="0.3">
      <c r="A38" s="57" t="s">
        <v>49</v>
      </c>
      <c r="B38" s="55" t="s">
        <v>50</v>
      </c>
      <c r="C38" s="54">
        <f>D38*C7</f>
        <v>212.673</v>
      </c>
      <c r="D38" s="55">
        <v>0.03</v>
      </c>
      <c r="E38" s="54">
        <f t="shared" si="1"/>
        <v>2552.076</v>
      </c>
    </row>
    <row r="39" spans="1:5" ht="15.6" x14ac:dyDescent="0.3">
      <c r="A39" s="57" t="s">
        <v>51</v>
      </c>
      <c r="B39" s="55" t="s">
        <v>52</v>
      </c>
      <c r="C39" s="59">
        <f>E39/12</f>
        <v>582</v>
      </c>
      <c r="D39" s="59">
        <f>C39/C8</f>
        <v>0.66666666666666663</v>
      </c>
      <c r="E39" s="59">
        <f>C8*4*2</f>
        <v>6984</v>
      </c>
    </row>
    <row r="40" spans="1:5" ht="15.6" x14ac:dyDescent="0.3">
      <c r="A40" s="24" t="s">
        <v>53</v>
      </c>
      <c r="B40" s="55" t="s">
        <v>30</v>
      </c>
      <c r="C40" s="54">
        <f>D40*C7</f>
        <v>708.91000000000008</v>
      </c>
      <c r="D40" s="55">
        <v>0.1</v>
      </c>
      <c r="E40" s="54">
        <f t="shared" si="1"/>
        <v>8506.9200000000019</v>
      </c>
    </row>
    <row r="41" spans="1:5" ht="17.399999999999999" x14ac:dyDescent="0.3">
      <c r="A41" s="26" t="s">
        <v>68</v>
      </c>
      <c r="B41" s="16" t="s">
        <v>59</v>
      </c>
      <c r="C41" s="22">
        <f>D41*C7</f>
        <v>9930.5308000000005</v>
      </c>
      <c r="D41" s="22">
        <f>C9-D16-D23</f>
        <v>1.4008168596859969</v>
      </c>
      <c r="E41" s="22">
        <f>C41*12</f>
        <v>119166.36960000001</v>
      </c>
    </row>
    <row r="42" spans="1:5" ht="17.25" customHeight="1" x14ac:dyDescent="0.3">
      <c r="A42" s="24" t="s">
        <v>77</v>
      </c>
      <c r="B42" s="46" t="s">
        <v>170</v>
      </c>
      <c r="C42" s="7">
        <f>E42/12</f>
        <v>3666.6666666666665</v>
      </c>
      <c r="D42" s="7">
        <f>C42/C7</f>
        <v>0.51722597602892695</v>
      </c>
      <c r="E42" s="55">
        <v>44000</v>
      </c>
    </row>
    <row r="43" spans="1:5" ht="15.6" x14ac:dyDescent="0.3">
      <c r="A43" s="24" t="s">
        <v>79</v>
      </c>
      <c r="B43" s="2" t="s">
        <v>171</v>
      </c>
      <c r="C43" s="7">
        <f>E43/12</f>
        <v>3375</v>
      </c>
      <c r="D43" s="7">
        <f>C43/C7</f>
        <v>0.47608300066298964</v>
      </c>
      <c r="E43" s="55">
        <v>40500</v>
      </c>
    </row>
    <row r="44" spans="1:5" ht="15.6" x14ac:dyDescent="0.3">
      <c r="A44" s="24" t="s">
        <v>80</v>
      </c>
      <c r="B44" s="2"/>
      <c r="C44" s="7">
        <f>E44/12</f>
        <v>0</v>
      </c>
      <c r="D44" s="7">
        <f>C44/C7</f>
        <v>0</v>
      </c>
      <c r="E44" s="55">
        <v>0</v>
      </c>
    </row>
    <row r="45" spans="1:5" ht="15.6" x14ac:dyDescent="0.3">
      <c r="A45" s="24" t="s">
        <v>81</v>
      </c>
      <c r="B45" s="2"/>
      <c r="C45" s="7">
        <f t="shared" ref="C45:C55" si="2">E45/12</f>
        <v>0</v>
      </c>
      <c r="D45" s="7">
        <f>C45/C7</f>
        <v>0</v>
      </c>
      <c r="E45" s="55">
        <v>0</v>
      </c>
    </row>
    <row r="46" spans="1:5" ht="15.6" x14ac:dyDescent="0.3">
      <c r="A46" s="24"/>
      <c r="B46" s="2"/>
      <c r="C46" s="7">
        <f>E46/12</f>
        <v>0</v>
      </c>
      <c r="D46" s="7">
        <f>C46/C7</f>
        <v>0</v>
      </c>
      <c r="E46" s="55"/>
    </row>
    <row r="47" spans="1:5" ht="15.6" x14ac:dyDescent="0.3">
      <c r="A47" s="24"/>
      <c r="B47" s="2"/>
      <c r="C47" s="7">
        <f t="shared" si="2"/>
        <v>0</v>
      </c>
      <c r="D47" s="7">
        <f>C47/C7</f>
        <v>0</v>
      </c>
      <c r="E47" s="55"/>
    </row>
    <row r="48" spans="1:5" ht="15.6" x14ac:dyDescent="0.3">
      <c r="A48" s="24"/>
      <c r="B48" s="2"/>
      <c r="C48" s="7">
        <f t="shared" si="2"/>
        <v>0</v>
      </c>
      <c r="D48" s="7">
        <f>C48/C7</f>
        <v>0</v>
      </c>
      <c r="E48" s="55"/>
    </row>
    <row r="49" spans="1:5" ht="15.6" x14ac:dyDescent="0.3">
      <c r="A49" s="38"/>
      <c r="B49" s="2"/>
      <c r="C49" s="7">
        <f t="shared" si="2"/>
        <v>0</v>
      </c>
      <c r="D49" s="7">
        <f>C49/C7</f>
        <v>0</v>
      </c>
      <c r="E49" s="55"/>
    </row>
    <row r="50" spans="1:5" ht="15.6" x14ac:dyDescent="0.3">
      <c r="A50" s="24"/>
      <c r="B50" s="2"/>
      <c r="C50" s="7">
        <f t="shared" si="2"/>
        <v>0</v>
      </c>
      <c r="D50" s="7">
        <f>C50/C7</f>
        <v>0</v>
      </c>
      <c r="E50" s="55"/>
    </row>
    <row r="51" spans="1:5" ht="15.6" x14ac:dyDescent="0.3">
      <c r="A51" s="24"/>
      <c r="B51" s="2"/>
      <c r="C51" s="7">
        <f t="shared" si="2"/>
        <v>0</v>
      </c>
      <c r="D51" s="7">
        <f>C51/C7</f>
        <v>0</v>
      </c>
      <c r="E51" s="55"/>
    </row>
    <row r="52" spans="1:5" ht="15.6" x14ac:dyDescent="0.3">
      <c r="A52" s="24"/>
      <c r="B52" s="2"/>
      <c r="C52" s="7">
        <f t="shared" si="2"/>
        <v>0</v>
      </c>
      <c r="D52" s="7">
        <f>C52/C7</f>
        <v>0</v>
      </c>
      <c r="E52" s="55"/>
    </row>
    <row r="53" spans="1:5" ht="15.6" x14ac:dyDescent="0.3">
      <c r="A53" s="24"/>
      <c r="B53" s="2"/>
      <c r="C53" s="7">
        <f t="shared" si="2"/>
        <v>0</v>
      </c>
      <c r="D53" s="7">
        <f>C53/C7</f>
        <v>0</v>
      </c>
      <c r="E53" s="55"/>
    </row>
    <row r="54" spans="1:5" ht="15.6" x14ac:dyDescent="0.3">
      <c r="A54" s="24"/>
      <c r="B54" s="2"/>
      <c r="C54" s="7">
        <f t="shared" si="2"/>
        <v>0</v>
      </c>
      <c r="D54" s="7">
        <f>C54/C7</f>
        <v>0</v>
      </c>
      <c r="E54" s="55"/>
    </row>
    <row r="55" spans="1:5" ht="15.6" x14ac:dyDescent="0.3">
      <c r="A55" s="24"/>
      <c r="B55" s="2"/>
      <c r="C55" s="7">
        <f t="shared" si="2"/>
        <v>0</v>
      </c>
      <c r="D55" s="7">
        <f>C55/C7</f>
        <v>0</v>
      </c>
      <c r="E55" s="55"/>
    </row>
    <row r="56" spans="1:5" ht="15.6" x14ac:dyDescent="0.3">
      <c r="A56" s="24"/>
      <c r="B56" s="40" t="s">
        <v>70</v>
      </c>
      <c r="C56" s="41">
        <f>SUM(C42:C55)</f>
        <v>7041.6666666666661</v>
      </c>
      <c r="D56" s="41">
        <f>SUM(D42:D55)</f>
        <v>0.99330897669191653</v>
      </c>
      <c r="E56" s="40">
        <f>SUM(E42:E55)</f>
        <v>84500</v>
      </c>
    </row>
    <row r="57" spans="1:5" ht="15.6" x14ac:dyDescent="0.3">
      <c r="A57" s="31"/>
      <c r="B57" s="32" t="s">
        <v>60</v>
      </c>
      <c r="C57" s="30">
        <f>D57*C7</f>
        <v>77980.100000000006</v>
      </c>
      <c r="D57" s="30">
        <f>D41+D23+D16</f>
        <v>11</v>
      </c>
      <c r="E57" s="30">
        <f>C57*12</f>
        <v>935761.20000000007</v>
      </c>
    </row>
    <row r="58" spans="1:5" ht="15.6" x14ac:dyDescent="0.3">
      <c r="A58" s="31" t="s">
        <v>69</v>
      </c>
      <c r="B58" s="16" t="s">
        <v>65</v>
      </c>
      <c r="C58" s="16">
        <f>D58*C7</f>
        <v>21450</v>
      </c>
      <c r="D58" s="22">
        <f>C10/C7/12</f>
        <v>3.025771959769223</v>
      </c>
      <c r="E58" s="16">
        <f>C58*12</f>
        <v>257400</v>
      </c>
    </row>
    <row r="59" spans="1:5" ht="15.6" x14ac:dyDescent="0.3">
      <c r="A59" s="24" t="s">
        <v>74</v>
      </c>
      <c r="B59" s="55" t="s">
        <v>78</v>
      </c>
      <c r="C59" s="76">
        <f>E59/12</f>
        <v>5116.666666666667</v>
      </c>
      <c r="D59" s="54">
        <f>C59/C7</f>
        <v>0.72176533927673003</v>
      </c>
      <c r="E59" s="55">
        <v>61400</v>
      </c>
    </row>
    <row r="60" spans="1:5" ht="15.6" x14ac:dyDescent="0.3">
      <c r="A60" s="24" t="s">
        <v>75</v>
      </c>
      <c r="B60" s="55" t="s">
        <v>169</v>
      </c>
      <c r="C60" s="76">
        <f>E60/12</f>
        <v>13000</v>
      </c>
      <c r="D60" s="54">
        <f>C60/C7</f>
        <v>1.8338011877389231</v>
      </c>
      <c r="E60" s="55">
        <v>156000</v>
      </c>
    </row>
    <row r="61" spans="1:5" ht="15.6" x14ac:dyDescent="0.3">
      <c r="A61" s="24" t="s">
        <v>96</v>
      </c>
      <c r="B61" s="55" t="s">
        <v>156</v>
      </c>
      <c r="C61" s="76">
        <f>E61/12</f>
        <v>3333.3333333333335</v>
      </c>
      <c r="D61" s="54">
        <f>C61/C7</f>
        <v>0.47020543275357002</v>
      </c>
      <c r="E61" s="55">
        <v>40000</v>
      </c>
    </row>
    <row r="62" spans="1:5" ht="15.6" x14ac:dyDescent="0.3">
      <c r="A62" s="4"/>
      <c r="B62" s="80"/>
      <c r="C62" s="76"/>
      <c r="D62" s="54"/>
      <c r="E62" s="55"/>
    </row>
    <row r="63" spans="1:5" ht="15.6" x14ac:dyDescent="0.3">
      <c r="A63" s="4"/>
      <c r="B63" s="42" t="s">
        <v>70</v>
      </c>
      <c r="C63" s="42"/>
      <c r="D63" s="43">
        <f>SUM(D59:D61)</f>
        <v>3.025771959769223</v>
      </c>
      <c r="E63" s="42"/>
    </row>
    <row r="64" spans="1:5" x14ac:dyDescent="0.3">
      <c r="A64" s="119" t="s">
        <v>166</v>
      </c>
      <c r="B64" s="120"/>
      <c r="C64" s="120"/>
      <c r="D64" s="120"/>
      <c r="E64" s="121"/>
    </row>
    <row r="65" spans="1:5" x14ac:dyDescent="0.3">
      <c r="A65" s="122"/>
      <c r="B65" s="123"/>
      <c r="C65" s="123"/>
      <c r="D65" s="123"/>
      <c r="E65" s="124"/>
    </row>
    <row r="66" spans="1:5" x14ac:dyDescent="0.3">
      <c r="A66" s="122"/>
      <c r="B66" s="123"/>
      <c r="C66" s="123"/>
      <c r="D66" s="123"/>
      <c r="E66" s="124"/>
    </row>
    <row r="67" spans="1:5" x14ac:dyDescent="0.3">
      <c r="A67" s="125"/>
      <c r="B67" s="126"/>
      <c r="C67" s="126"/>
      <c r="D67" s="126"/>
      <c r="E67" s="127"/>
    </row>
    <row r="68" spans="1:5" ht="42.75" customHeight="1" x14ac:dyDescent="0.3">
      <c r="A68" s="114" t="s">
        <v>167</v>
      </c>
      <c r="B68" s="115"/>
      <c r="C68" s="3"/>
      <c r="D68" s="3"/>
      <c r="E68" s="3"/>
    </row>
  </sheetData>
  <mergeCells count="19">
    <mergeCell ref="F10:I10"/>
    <mergeCell ref="A13:B13"/>
    <mergeCell ref="C13:E13"/>
    <mergeCell ref="A14:E14"/>
    <mergeCell ref="A8:B8"/>
    <mergeCell ref="C8:E8"/>
    <mergeCell ref="A9:B9"/>
    <mergeCell ref="C9:E9"/>
    <mergeCell ref="A10:B10"/>
    <mergeCell ref="C10:E10"/>
    <mergeCell ref="A64:E67"/>
    <mergeCell ref="A68:B68"/>
    <mergeCell ref="A7:B7"/>
    <mergeCell ref="C7:E7"/>
    <mergeCell ref="A2:E4"/>
    <mergeCell ref="A5:B5"/>
    <mergeCell ref="C5:E5"/>
    <mergeCell ref="A6:B6"/>
    <mergeCell ref="C6:E6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6"/>
  <sheetViews>
    <sheetView topLeftCell="A48" workbookViewId="0">
      <selection activeCell="E73" sqref="E73"/>
    </sheetView>
  </sheetViews>
  <sheetFormatPr defaultRowHeight="13.8" x14ac:dyDescent="0.3"/>
  <cols>
    <col min="1" max="1" width="8.5546875" style="29" customWidth="1"/>
    <col min="2" max="2" width="51.88671875" customWidth="1"/>
    <col min="3" max="3" width="11.6640625" customWidth="1"/>
    <col min="4" max="4" width="11.88671875" customWidth="1"/>
    <col min="5" max="5" width="12.33203125" customWidth="1"/>
  </cols>
  <sheetData>
    <row r="2" spans="1:5" x14ac:dyDescent="0.3">
      <c r="A2" s="102" t="s">
        <v>116</v>
      </c>
      <c r="B2" s="102"/>
      <c r="C2" s="102"/>
      <c r="D2" s="102"/>
      <c r="E2" s="102"/>
    </row>
    <row r="3" spans="1:5" x14ac:dyDescent="0.3">
      <c r="A3" s="102"/>
      <c r="B3" s="102"/>
      <c r="C3" s="102"/>
      <c r="D3" s="102"/>
      <c r="E3" s="102"/>
    </row>
    <row r="4" spans="1:5" x14ac:dyDescent="0.3">
      <c r="A4" s="103"/>
      <c r="B4" s="103"/>
      <c r="C4" s="103"/>
      <c r="D4" s="103"/>
      <c r="E4" s="103"/>
    </row>
    <row r="5" spans="1:5" ht="15.6" x14ac:dyDescent="0.3">
      <c r="A5" s="97" t="s">
        <v>0</v>
      </c>
      <c r="B5" s="98"/>
      <c r="C5" s="97" t="s">
        <v>1</v>
      </c>
      <c r="D5" s="104"/>
      <c r="E5" s="98"/>
    </row>
    <row r="6" spans="1:5" ht="15.6" x14ac:dyDescent="0.3">
      <c r="A6" s="97" t="s">
        <v>2</v>
      </c>
      <c r="B6" s="98"/>
      <c r="C6" s="99">
        <v>1</v>
      </c>
      <c r="D6" s="100"/>
      <c r="E6" s="101"/>
    </row>
    <row r="7" spans="1:5" ht="15.6" x14ac:dyDescent="0.3">
      <c r="A7" s="97" t="s">
        <v>3</v>
      </c>
      <c r="B7" s="98"/>
      <c r="C7" s="99">
        <v>3242</v>
      </c>
      <c r="D7" s="100"/>
      <c r="E7" s="101"/>
    </row>
    <row r="8" spans="1:5" ht="15.6" x14ac:dyDescent="0.3">
      <c r="A8" s="97" t="s">
        <v>4</v>
      </c>
      <c r="B8" s="98"/>
      <c r="C8" s="99">
        <v>396</v>
      </c>
      <c r="D8" s="100"/>
      <c r="E8" s="101"/>
    </row>
    <row r="9" spans="1:5" ht="15.6" x14ac:dyDescent="0.3">
      <c r="A9" s="97" t="s">
        <v>5</v>
      </c>
      <c r="B9" s="98"/>
      <c r="C9" s="99">
        <v>10.5</v>
      </c>
      <c r="D9" s="100"/>
      <c r="E9" s="101"/>
    </row>
    <row r="10" spans="1:5" ht="15.6" x14ac:dyDescent="0.3">
      <c r="A10" s="97" t="s">
        <v>6</v>
      </c>
      <c r="B10" s="98"/>
      <c r="C10" s="99">
        <v>12000</v>
      </c>
      <c r="D10" s="100"/>
      <c r="E10" s="101"/>
    </row>
    <row r="11" spans="1:5" ht="15.6" x14ac:dyDescent="0.3">
      <c r="A11" s="50"/>
      <c r="B11" s="51" t="s">
        <v>56</v>
      </c>
      <c r="C11" s="50"/>
      <c r="D11" s="52">
        <f>C7*C9</f>
        <v>34041</v>
      </c>
      <c r="E11" s="51"/>
    </row>
    <row r="12" spans="1:5" ht="15.6" x14ac:dyDescent="0.3">
      <c r="A12" s="50"/>
      <c r="B12" s="51" t="s">
        <v>64</v>
      </c>
      <c r="C12" s="50"/>
      <c r="D12" s="52">
        <f>D11+(C10/12)</f>
        <v>35041</v>
      </c>
      <c r="E12" s="51"/>
    </row>
    <row r="13" spans="1:5" ht="15.6" x14ac:dyDescent="0.3">
      <c r="A13" s="97" t="s">
        <v>7</v>
      </c>
      <c r="B13" s="98"/>
      <c r="C13" s="97">
        <f>(C7*C9*12)+C10</f>
        <v>420492</v>
      </c>
      <c r="D13" s="104"/>
      <c r="E13" s="98"/>
    </row>
    <row r="14" spans="1:5" ht="15.6" x14ac:dyDescent="0.3">
      <c r="A14" s="97" t="s">
        <v>8</v>
      </c>
      <c r="B14" s="104"/>
      <c r="C14" s="104"/>
      <c r="D14" s="104"/>
      <c r="E14" s="98"/>
    </row>
    <row r="15" spans="1:5" ht="46.8" x14ac:dyDescent="0.3">
      <c r="A15" s="4"/>
      <c r="B15" s="10" t="s">
        <v>12</v>
      </c>
      <c r="C15" s="10" t="s">
        <v>13</v>
      </c>
      <c r="D15" s="11" t="s">
        <v>14</v>
      </c>
      <c r="E15" s="10" t="s">
        <v>15</v>
      </c>
    </row>
    <row r="16" spans="1:5" ht="18" x14ac:dyDescent="0.35">
      <c r="A16" s="23">
        <v>1</v>
      </c>
      <c r="B16" s="14" t="s">
        <v>9</v>
      </c>
      <c r="C16" s="21">
        <f>C17+C18</f>
        <v>7495.0625666666665</v>
      </c>
      <c r="D16" s="21">
        <f>D17+D18</f>
        <v>2.4199483549249434</v>
      </c>
      <c r="E16" s="21">
        <f>E17+E18</f>
        <v>89940.750800000009</v>
      </c>
    </row>
    <row r="17" spans="1:5" ht="15.6" x14ac:dyDescent="0.3">
      <c r="A17" s="24" t="s">
        <v>10</v>
      </c>
      <c r="B17" s="61" t="s">
        <v>11</v>
      </c>
      <c r="C17" s="54">
        <f>(D11*12.59%)+(C10*12.59%/12)</f>
        <v>4411.6619000000001</v>
      </c>
      <c r="D17" s="54">
        <f>C17/C7</f>
        <v>1.3607840530536706</v>
      </c>
      <c r="E17" s="54">
        <f>C17*12</f>
        <v>52939.942800000004</v>
      </c>
    </row>
    <row r="18" spans="1:5" ht="15.6" x14ac:dyDescent="0.3">
      <c r="A18" s="4" t="s">
        <v>16</v>
      </c>
      <c r="B18" s="61" t="s">
        <v>17</v>
      </c>
      <c r="C18" s="62">
        <f>SUM(C19:C21)</f>
        <v>3083.4006666666664</v>
      </c>
      <c r="D18" s="62">
        <f>SUM(D19:D22)</f>
        <v>1.0591643018712729</v>
      </c>
      <c r="E18" s="62">
        <f t="shared" ref="E18" si="0">SUM(E19:E21)</f>
        <v>37000.808000000005</v>
      </c>
    </row>
    <row r="19" spans="1:5" ht="15.6" x14ac:dyDescent="0.3">
      <c r="A19" s="24" t="s">
        <v>18</v>
      </c>
      <c r="B19" s="61" t="s">
        <v>19</v>
      </c>
      <c r="C19" s="54">
        <f>E19/12</f>
        <v>1050.6666666666667</v>
      </c>
      <c r="D19" s="54">
        <f>C19/C7</f>
        <v>0.32407978614024269</v>
      </c>
      <c r="E19" s="54">
        <v>12608</v>
      </c>
    </row>
    <row r="20" spans="1:5" ht="42" x14ac:dyDescent="0.3">
      <c r="A20" s="24" t="s">
        <v>20</v>
      </c>
      <c r="B20" s="63" t="s">
        <v>21</v>
      </c>
      <c r="C20" s="54">
        <f>D20*C7</f>
        <v>875.34</v>
      </c>
      <c r="D20" s="55">
        <v>0.27</v>
      </c>
      <c r="E20" s="54">
        <f>C20*12</f>
        <v>10504.08</v>
      </c>
    </row>
    <row r="21" spans="1:5" ht="15.6" x14ac:dyDescent="0.3">
      <c r="A21" s="24" t="s">
        <v>22</v>
      </c>
      <c r="B21" s="61" t="s">
        <v>23</v>
      </c>
      <c r="C21" s="54">
        <f>D11*3.4%</f>
        <v>1157.394</v>
      </c>
      <c r="D21" s="54">
        <f>C21/C7</f>
        <v>0.35699999999999998</v>
      </c>
      <c r="E21" s="54">
        <f>C21*12</f>
        <v>13888.727999999999</v>
      </c>
    </row>
    <row r="22" spans="1:5" ht="15.6" x14ac:dyDescent="0.3">
      <c r="A22" s="24" t="s">
        <v>66</v>
      </c>
      <c r="B22" s="8" t="s">
        <v>67</v>
      </c>
      <c r="C22" s="7">
        <f>E22/12</f>
        <v>350.41</v>
      </c>
      <c r="D22" s="7">
        <f>C22/C7</f>
        <v>0.10808451573103024</v>
      </c>
      <c r="E22" s="7">
        <f>C13*1%</f>
        <v>4204.92</v>
      </c>
    </row>
    <row r="23" spans="1:5" ht="18" x14ac:dyDescent="0.35">
      <c r="A23" s="25" t="s">
        <v>24</v>
      </c>
      <c r="B23" s="14" t="s">
        <v>25</v>
      </c>
      <c r="C23" s="21">
        <f>C24+C28+C34</f>
        <v>19406.976666666669</v>
      </c>
      <c r="D23" s="21">
        <f>D24+D28+D34</f>
        <v>5.9861124820069902</v>
      </c>
      <c r="E23" s="21">
        <f>E24+E28+E34</f>
        <v>232883.71999999997</v>
      </c>
    </row>
    <row r="24" spans="1:5" ht="17.399999999999999" x14ac:dyDescent="0.3">
      <c r="A24" s="26" t="s">
        <v>26</v>
      </c>
      <c r="B24" s="15" t="s">
        <v>27</v>
      </c>
      <c r="C24" s="22">
        <f>SUM(C25:C27)</f>
        <v>752.95666666666659</v>
      </c>
      <c r="D24" s="22">
        <f>SUM(D25:D27)</f>
        <v>0.23225066831174171</v>
      </c>
      <c r="E24" s="22">
        <f>SUM(E25:E27)</f>
        <v>9035.48</v>
      </c>
    </row>
    <row r="25" spans="1:5" ht="15.6" x14ac:dyDescent="0.3">
      <c r="A25" s="24" t="s">
        <v>28</v>
      </c>
      <c r="B25" s="63" t="s">
        <v>61</v>
      </c>
      <c r="C25" s="54">
        <f>D25*C7</f>
        <v>583.55999999999995</v>
      </c>
      <c r="D25" s="55">
        <v>0.18</v>
      </c>
      <c r="E25" s="54">
        <f>C25*12</f>
        <v>7002.7199999999993</v>
      </c>
    </row>
    <row r="26" spans="1:5" ht="15.6" x14ac:dyDescent="0.3">
      <c r="A26" s="24" t="s">
        <v>29</v>
      </c>
      <c r="B26" s="55" t="s">
        <v>30</v>
      </c>
      <c r="C26" s="54">
        <f>D26*C7</f>
        <v>162.10000000000002</v>
      </c>
      <c r="D26" s="55">
        <v>0.05</v>
      </c>
      <c r="E26" s="54">
        <f>C26*12</f>
        <v>1945.2000000000003</v>
      </c>
    </row>
    <row r="27" spans="1:5" ht="15.6" x14ac:dyDescent="0.3">
      <c r="A27" s="57" t="s">
        <v>31</v>
      </c>
      <c r="B27" s="55" t="s">
        <v>57</v>
      </c>
      <c r="C27" s="54">
        <f>E27/12</f>
        <v>7.2966666666666669</v>
      </c>
      <c r="D27" s="56">
        <f>C27/C7</f>
        <v>2.2506683117417231E-3</v>
      </c>
      <c r="E27" s="55">
        <f>87.56*1</f>
        <v>87.56</v>
      </c>
    </row>
    <row r="28" spans="1:5" ht="17.399999999999999" x14ac:dyDescent="0.3">
      <c r="A28" s="26" t="s">
        <v>32</v>
      </c>
      <c r="B28" s="17" t="s">
        <v>33</v>
      </c>
      <c r="C28" s="22">
        <f>SUM(C29:C33)</f>
        <v>9409.68</v>
      </c>
      <c r="D28" s="22">
        <f>SUM(D29:D33)</f>
        <v>2.9024305983960512</v>
      </c>
      <c r="E28" s="22">
        <f>SUM(E29:E33)</f>
        <v>112916.16</v>
      </c>
    </row>
    <row r="29" spans="1:5" ht="15.6" x14ac:dyDescent="0.3">
      <c r="A29" s="57" t="s">
        <v>34</v>
      </c>
      <c r="B29" s="13" t="s">
        <v>62</v>
      </c>
      <c r="C29" s="7">
        <f>D29*C7</f>
        <v>5673.5</v>
      </c>
      <c r="D29" s="2">
        <v>1.75</v>
      </c>
      <c r="E29" s="7">
        <f>C29*12</f>
        <v>68082</v>
      </c>
    </row>
    <row r="30" spans="1:5" ht="15.6" x14ac:dyDescent="0.3">
      <c r="A30" s="57" t="s">
        <v>35</v>
      </c>
      <c r="B30" s="55" t="s">
        <v>36</v>
      </c>
      <c r="C30" s="55">
        <v>1175</v>
      </c>
      <c r="D30" s="7">
        <f>C30/C7</f>
        <v>0.3624305983960518</v>
      </c>
      <c r="E30" s="2">
        <f>C30*12</f>
        <v>14100</v>
      </c>
    </row>
    <row r="31" spans="1:5" ht="15.6" x14ac:dyDescent="0.3">
      <c r="A31" s="57" t="s">
        <v>37</v>
      </c>
      <c r="B31" s="2" t="s">
        <v>30</v>
      </c>
      <c r="C31" s="7">
        <f>D31*C7</f>
        <v>291.77999999999997</v>
      </c>
      <c r="D31" s="2">
        <v>0.09</v>
      </c>
      <c r="E31" s="7">
        <f>C31*12</f>
        <v>3501.3599999999997</v>
      </c>
    </row>
    <row r="32" spans="1:5" ht="15.6" x14ac:dyDescent="0.3">
      <c r="A32" s="57" t="s">
        <v>38</v>
      </c>
      <c r="B32" s="2" t="s">
        <v>40</v>
      </c>
      <c r="C32" s="7">
        <f>D32*C7</f>
        <v>97.259999999999991</v>
      </c>
      <c r="D32" s="2">
        <v>0.03</v>
      </c>
      <c r="E32" s="7">
        <f>C32*12</f>
        <v>1167.1199999999999</v>
      </c>
    </row>
    <row r="33" spans="1:5" ht="15.6" x14ac:dyDescent="0.3">
      <c r="A33" s="57" t="s">
        <v>39</v>
      </c>
      <c r="B33" s="2" t="s">
        <v>41</v>
      </c>
      <c r="C33" s="7">
        <f>D33*C7</f>
        <v>2172.1400000000003</v>
      </c>
      <c r="D33" s="2">
        <v>0.67</v>
      </c>
      <c r="E33" s="7">
        <f>C33*12</f>
        <v>26065.680000000004</v>
      </c>
    </row>
    <row r="34" spans="1:5" ht="31.2" x14ac:dyDescent="0.3">
      <c r="A34" s="26" t="s">
        <v>42</v>
      </c>
      <c r="B34" s="18" t="s">
        <v>43</v>
      </c>
      <c r="C34" s="22">
        <f>SUM(C35:C40)</f>
        <v>9244.340000000002</v>
      </c>
      <c r="D34" s="22">
        <f>SUM(D35:D40)</f>
        <v>2.8514312152991974</v>
      </c>
      <c r="E34" s="22">
        <f>SUM(E35:E40)</f>
        <v>110932.07999999999</v>
      </c>
    </row>
    <row r="35" spans="1:5" ht="27" x14ac:dyDescent="0.3">
      <c r="A35" s="24" t="s">
        <v>44</v>
      </c>
      <c r="B35" s="64" t="s">
        <v>73</v>
      </c>
      <c r="C35" s="54">
        <f>D35*C7</f>
        <v>8202.26</v>
      </c>
      <c r="D35" s="55">
        <v>2.5299999999999998</v>
      </c>
      <c r="E35" s="54">
        <f>C35*12</f>
        <v>98427.12</v>
      </c>
    </row>
    <row r="36" spans="1:5" ht="15.6" x14ac:dyDescent="0.3">
      <c r="A36" s="24" t="s">
        <v>46</v>
      </c>
      <c r="B36" s="58" t="s">
        <v>45</v>
      </c>
      <c r="C36" s="54">
        <f>D36*C7</f>
        <v>291.77999999999997</v>
      </c>
      <c r="D36" s="55">
        <v>0.09</v>
      </c>
      <c r="E36" s="54">
        <f t="shared" ref="E36:E40" si="1">C36*12</f>
        <v>3501.3599999999997</v>
      </c>
    </row>
    <row r="37" spans="1:5" ht="15.6" x14ac:dyDescent="0.3">
      <c r="A37" s="24" t="s">
        <v>47</v>
      </c>
      <c r="B37" s="55" t="s">
        <v>48</v>
      </c>
      <c r="C37" s="54">
        <f>D37*C7</f>
        <v>64.84</v>
      </c>
      <c r="D37" s="55">
        <v>0.02</v>
      </c>
      <c r="E37" s="54">
        <f t="shared" si="1"/>
        <v>778.08</v>
      </c>
    </row>
    <row r="38" spans="1:5" ht="15.6" x14ac:dyDescent="0.3">
      <c r="A38" s="24" t="s">
        <v>49</v>
      </c>
      <c r="B38" s="55" t="s">
        <v>50</v>
      </c>
      <c r="C38" s="54">
        <f>D38*C7</f>
        <v>97.259999999999991</v>
      </c>
      <c r="D38" s="55">
        <v>0.03</v>
      </c>
      <c r="E38" s="54">
        <f t="shared" si="1"/>
        <v>1167.1199999999999</v>
      </c>
    </row>
    <row r="39" spans="1:5" ht="15.6" x14ac:dyDescent="0.3">
      <c r="A39" s="57" t="s">
        <v>51</v>
      </c>
      <c r="B39" s="55" t="s">
        <v>52</v>
      </c>
      <c r="C39" s="59">
        <f>E39/12</f>
        <v>264</v>
      </c>
      <c r="D39" s="59">
        <f>C39/C7</f>
        <v>8.1431215299198029E-2</v>
      </c>
      <c r="E39" s="59">
        <f>C8*4*2</f>
        <v>3168</v>
      </c>
    </row>
    <row r="40" spans="1:5" ht="15.6" x14ac:dyDescent="0.3">
      <c r="A40" s="24" t="s">
        <v>53</v>
      </c>
      <c r="B40" s="2" t="s">
        <v>30</v>
      </c>
      <c r="C40" s="7">
        <f>D40*C7</f>
        <v>324.20000000000005</v>
      </c>
      <c r="D40" s="2">
        <v>0.1</v>
      </c>
      <c r="E40" s="7">
        <f t="shared" si="1"/>
        <v>3890.4000000000005</v>
      </c>
    </row>
    <row r="41" spans="1:5" ht="17.399999999999999" x14ac:dyDescent="0.3">
      <c r="A41" s="26" t="s">
        <v>68</v>
      </c>
      <c r="B41" s="16" t="s">
        <v>59</v>
      </c>
      <c r="C41" s="22">
        <f>D41*C7</f>
        <v>6788.5507666666681</v>
      </c>
      <c r="D41" s="22">
        <f>C9-D16-D23</f>
        <v>2.0939391630680655</v>
      </c>
      <c r="E41" s="22">
        <f>C41*12</f>
        <v>81462.609200000021</v>
      </c>
    </row>
    <row r="42" spans="1:5" ht="15.6" x14ac:dyDescent="0.3">
      <c r="A42" s="24" t="s">
        <v>77</v>
      </c>
      <c r="B42" s="2" t="s">
        <v>78</v>
      </c>
      <c r="C42" s="7">
        <f>E42/12</f>
        <v>3025.7366666666662</v>
      </c>
      <c r="D42" s="7">
        <f>C42/C7</f>
        <v>0.93329323462882985</v>
      </c>
      <c r="E42" s="55">
        <v>36308.839999999997</v>
      </c>
    </row>
    <row r="43" spans="1:5" ht="15.6" x14ac:dyDescent="0.3">
      <c r="A43" s="24" t="s">
        <v>79</v>
      </c>
      <c r="B43" s="2" t="s">
        <v>142</v>
      </c>
      <c r="C43" s="7">
        <f>E43/12</f>
        <v>1262.8141666666668</v>
      </c>
      <c r="D43" s="7">
        <f>C43/C7</f>
        <v>0.3895170162451162</v>
      </c>
      <c r="E43" s="55">
        <v>15153.77</v>
      </c>
    </row>
    <row r="44" spans="1:5" ht="31.2" x14ac:dyDescent="0.3">
      <c r="A44" s="85" t="s">
        <v>80</v>
      </c>
      <c r="B44" s="86" t="s">
        <v>152</v>
      </c>
      <c r="C44" s="87">
        <f t="shared" ref="C44:C49" si="2">E44/12</f>
        <v>2500</v>
      </c>
      <c r="D44" s="87">
        <f>C44/C7</f>
        <v>0.77112893275755712</v>
      </c>
      <c r="E44" s="88">
        <v>30000</v>
      </c>
    </row>
    <row r="45" spans="1:5" ht="15.6" x14ac:dyDescent="0.3">
      <c r="A45" s="24" t="s">
        <v>81</v>
      </c>
      <c r="B45" s="2"/>
      <c r="C45" s="7">
        <f>E45/12</f>
        <v>0</v>
      </c>
      <c r="D45" s="7">
        <f>C45/C7</f>
        <v>0</v>
      </c>
      <c r="E45" s="55"/>
    </row>
    <row r="46" spans="1:5" ht="15.6" x14ac:dyDescent="0.3">
      <c r="A46" s="24" t="s">
        <v>82</v>
      </c>
      <c r="B46" s="2"/>
      <c r="C46" s="7">
        <f t="shared" si="2"/>
        <v>0</v>
      </c>
      <c r="D46" s="7">
        <f>C46/C7</f>
        <v>0</v>
      </c>
      <c r="E46" s="55"/>
    </row>
    <row r="47" spans="1:5" ht="15.6" x14ac:dyDescent="0.3">
      <c r="A47" s="24" t="s">
        <v>83</v>
      </c>
      <c r="B47" s="2"/>
      <c r="C47" s="7">
        <f t="shared" si="2"/>
        <v>0</v>
      </c>
      <c r="D47" s="7">
        <f>C47/C7</f>
        <v>0</v>
      </c>
      <c r="E47" s="55"/>
    </row>
    <row r="48" spans="1:5" ht="15.6" x14ac:dyDescent="0.3">
      <c r="A48" s="38" t="s">
        <v>132</v>
      </c>
      <c r="B48" s="2"/>
      <c r="C48" s="7">
        <f t="shared" si="2"/>
        <v>0</v>
      </c>
      <c r="D48" s="7">
        <f>C48/C7</f>
        <v>0</v>
      </c>
      <c r="E48" s="55"/>
    </row>
    <row r="49" spans="1:5" ht="15.6" x14ac:dyDescent="0.3">
      <c r="A49" s="24" t="s">
        <v>133</v>
      </c>
      <c r="B49" s="2"/>
      <c r="C49" s="7">
        <f t="shared" si="2"/>
        <v>0</v>
      </c>
      <c r="D49" s="7">
        <f>C49/C7</f>
        <v>0</v>
      </c>
      <c r="E49" s="55"/>
    </row>
    <row r="50" spans="1:5" ht="15.6" x14ac:dyDescent="0.3">
      <c r="A50" s="24"/>
      <c r="B50" s="2"/>
      <c r="C50" s="7"/>
      <c r="D50" s="7"/>
      <c r="E50" s="55"/>
    </row>
    <row r="51" spans="1:5" ht="15.6" x14ac:dyDescent="0.3">
      <c r="A51" s="24"/>
      <c r="B51" s="2"/>
      <c r="C51" s="7"/>
      <c r="D51" s="7"/>
      <c r="E51" s="55"/>
    </row>
    <row r="52" spans="1:5" ht="15.6" x14ac:dyDescent="0.3">
      <c r="A52" s="24"/>
      <c r="B52" s="2"/>
      <c r="C52" s="7"/>
      <c r="D52" s="7"/>
      <c r="E52" s="55"/>
    </row>
    <row r="53" spans="1:5" ht="15.6" x14ac:dyDescent="0.3">
      <c r="A53" s="24"/>
      <c r="B53" s="2"/>
      <c r="C53" s="7"/>
      <c r="D53" s="7"/>
      <c r="E53" s="55"/>
    </row>
    <row r="54" spans="1:5" ht="15.6" x14ac:dyDescent="0.3">
      <c r="A54" s="24"/>
      <c r="B54" s="2"/>
      <c r="C54" s="7"/>
      <c r="D54" s="7"/>
      <c r="E54" s="55"/>
    </row>
    <row r="55" spans="1:5" ht="15.6" x14ac:dyDescent="0.3">
      <c r="A55" s="24"/>
      <c r="B55" s="40" t="s">
        <v>70</v>
      </c>
      <c r="C55" s="41">
        <f>SUM(C42:C54)</f>
        <v>6788.5508333333328</v>
      </c>
      <c r="D55" s="41">
        <f>SUM(D42:D54)</f>
        <v>2.0939391836315031</v>
      </c>
      <c r="E55" s="40">
        <f>SUM(E42:E54)</f>
        <v>81462.61</v>
      </c>
    </row>
    <row r="56" spans="1:5" ht="15.6" x14ac:dyDescent="0.3">
      <c r="A56" s="31"/>
      <c r="B56" s="32" t="s">
        <v>60</v>
      </c>
      <c r="C56" s="30">
        <f>D56*C7</f>
        <v>34041</v>
      </c>
      <c r="D56" s="30">
        <f>D41+D23+D16</f>
        <v>10.5</v>
      </c>
      <c r="E56" s="30">
        <f>C56*12</f>
        <v>408492</v>
      </c>
    </row>
    <row r="57" spans="1:5" ht="15.6" x14ac:dyDescent="0.3">
      <c r="A57" s="31" t="s">
        <v>69</v>
      </c>
      <c r="B57" s="16" t="s">
        <v>65</v>
      </c>
      <c r="C57" s="16">
        <f>D57*C7</f>
        <v>999.99999999999989</v>
      </c>
      <c r="D57" s="22">
        <f>C10/C7/12</f>
        <v>0.30845157310302279</v>
      </c>
      <c r="E57" s="16">
        <f>C57*12</f>
        <v>11999.999999999998</v>
      </c>
    </row>
    <row r="58" spans="1:5" ht="15.6" x14ac:dyDescent="0.3">
      <c r="A58" s="24" t="s">
        <v>74</v>
      </c>
      <c r="B58" s="55" t="s">
        <v>72</v>
      </c>
      <c r="C58" s="76">
        <f>E58/12</f>
        <v>1000</v>
      </c>
      <c r="D58" s="54">
        <f>C58/C7</f>
        <v>0.30845157310302285</v>
      </c>
      <c r="E58" s="55">
        <v>12000</v>
      </c>
    </row>
    <row r="59" spans="1:5" ht="15.6" x14ac:dyDescent="0.3">
      <c r="A59" s="24" t="s">
        <v>75</v>
      </c>
      <c r="B59" s="55"/>
      <c r="C59" s="76"/>
      <c r="D59" s="54"/>
      <c r="E59" s="55"/>
    </row>
    <row r="60" spans="1:5" ht="15.6" x14ac:dyDescent="0.3">
      <c r="A60" s="24"/>
      <c r="B60" s="2"/>
      <c r="C60" s="39"/>
      <c r="D60" s="7"/>
      <c r="E60" s="55"/>
    </row>
    <row r="61" spans="1:5" ht="15.6" x14ac:dyDescent="0.3">
      <c r="A61" s="4"/>
      <c r="B61" s="2"/>
      <c r="C61" s="39"/>
      <c r="D61" s="7"/>
      <c r="E61" s="55"/>
    </row>
    <row r="62" spans="1:5" ht="15.6" x14ac:dyDescent="0.3">
      <c r="A62" s="4"/>
      <c r="B62" s="42" t="s">
        <v>70</v>
      </c>
      <c r="C62" s="42"/>
      <c r="D62" s="43">
        <f>SUM(D58:D61)</f>
        <v>0.30845157310302285</v>
      </c>
      <c r="E62" s="42"/>
    </row>
    <row r="63" spans="1:5" ht="12.75" customHeight="1" x14ac:dyDescent="0.3">
      <c r="A63" s="28"/>
      <c r="B63" s="3"/>
      <c r="C63" s="3"/>
      <c r="D63" s="3"/>
      <c r="E63" s="3"/>
    </row>
    <row r="64" spans="1:5" ht="15.6" x14ac:dyDescent="0.3">
      <c r="A64" s="28"/>
      <c r="B64" s="3"/>
      <c r="C64" s="3"/>
      <c r="D64" s="3"/>
      <c r="E64" s="3"/>
    </row>
    <row r="65" spans="1:5" ht="15.6" x14ac:dyDescent="0.3">
      <c r="A65" s="28"/>
      <c r="B65" s="3"/>
      <c r="C65" s="3"/>
      <c r="D65" s="3"/>
      <c r="E65" s="3"/>
    </row>
    <row r="66" spans="1:5" ht="15.6" x14ac:dyDescent="0.3">
      <c r="A66" s="28"/>
      <c r="B66" s="3"/>
      <c r="C66" s="3"/>
      <c r="D66" s="3"/>
      <c r="E66" s="3"/>
    </row>
  </sheetData>
  <mergeCells count="16">
    <mergeCell ref="A13:B13"/>
    <mergeCell ref="C13:E13"/>
    <mergeCell ref="A14:E14"/>
    <mergeCell ref="A8:B8"/>
    <mergeCell ref="C8:E8"/>
    <mergeCell ref="A9:B9"/>
    <mergeCell ref="C9:E9"/>
    <mergeCell ref="A10:B10"/>
    <mergeCell ref="C10:E10"/>
    <mergeCell ref="A7:B7"/>
    <mergeCell ref="C7:E7"/>
    <mergeCell ref="A2:E4"/>
    <mergeCell ref="A5:B5"/>
    <mergeCell ref="C5:E5"/>
    <mergeCell ref="A6:B6"/>
    <mergeCell ref="C6:E6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68"/>
  <sheetViews>
    <sheetView topLeftCell="A34" workbookViewId="0">
      <selection activeCell="G68" sqref="G68"/>
    </sheetView>
  </sheetViews>
  <sheetFormatPr defaultRowHeight="13.8" x14ac:dyDescent="0.3"/>
  <cols>
    <col min="1" max="1" width="8.5546875" style="29" customWidth="1"/>
    <col min="2" max="2" width="51.88671875" customWidth="1"/>
    <col min="3" max="3" width="11.6640625" customWidth="1"/>
    <col min="4" max="4" width="11.88671875" customWidth="1"/>
    <col min="5" max="5" width="12.33203125" customWidth="1"/>
  </cols>
  <sheetData>
    <row r="2" spans="1:5" x14ac:dyDescent="0.3">
      <c r="A2" s="102" t="s">
        <v>94</v>
      </c>
      <c r="B2" s="102"/>
      <c r="C2" s="102"/>
      <c r="D2" s="102"/>
      <c r="E2" s="102"/>
    </row>
    <row r="3" spans="1:5" x14ac:dyDescent="0.3">
      <c r="A3" s="102"/>
      <c r="B3" s="102"/>
      <c r="C3" s="102"/>
      <c r="D3" s="102"/>
      <c r="E3" s="102"/>
    </row>
    <row r="4" spans="1:5" x14ac:dyDescent="0.3">
      <c r="A4" s="103"/>
      <c r="B4" s="103"/>
      <c r="C4" s="103"/>
      <c r="D4" s="103"/>
      <c r="E4" s="103"/>
    </row>
    <row r="5" spans="1:5" ht="15.6" x14ac:dyDescent="0.3">
      <c r="A5" s="97" t="s">
        <v>0</v>
      </c>
      <c r="B5" s="98"/>
      <c r="C5" s="97" t="s">
        <v>1</v>
      </c>
      <c r="D5" s="104"/>
      <c r="E5" s="98"/>
    </row>
    <row r="6" spans="1:5" ht="15.6" x14ac:dyDescent="0.3">
      <c r="A6" s="97" t="s">
        <v>2</v>
      </c>
      <c r="B6" s="98"/>
      <c r="C6" s="133">
        <v>2</v>
      </c>
      <c r="D6" s="134"/>
      <c r="E6" s="135"/>
    </row>
    <row r="7" spans="1:5" ht="15.6" x14ac:dyDescent="0.3">
      <c r="A7" s="97" t="s">
        <v>3</v>
      </c>
      <c r="B7" s="98"/>
      <c r="C7" s="133">
        <v>3726.5</v>
      </c>
      <c r="D7" s="134"/>
      <c r="E7" s="135"/>
    </row>
    <row r="8" spans="1:5" ht="15.6" x14ac:dyDescent="0.3">
      <c r="A8" s="97" t="s">
        <v>4</v>
      </c>
      <c r="B8" s="98"/>
      <c r="C8" s="133">
        <v>504</v>
      </c>
      <c r="D8" s="134"/>
      <c r="E8" s="135"/>
    </row>
    <row r="9" spans="1:5" ht="15.6" x14ac:dyDescent="0.3">
      <c r="A9" s="97" t="s">
        <v>5</v>
      </c>
      <c r="B9" s="98"/>
      <c r="C9" s="133">
        <v>10.88</v>
      </c>
      <c r="D9" s="134"/>
      <c r="E9" s="135"/>
    </row>
    <row r="10" spans="1:5" ht="15.6" x14ac:dyDescent="0.3">
      <c r="A10" s="97" t="s">
        <v>6</v>
      </c>
      <c r="B10" s="98"/>
      <c r="C10" s="133">
        <v>14000</v>
      </c>
      <c r="D10" s="134"/>
      <c r="E10" s="135"/>
    </row>
    <row r="11" spans="1:5" ht="15.6" x14ac:dyDescent="0.3">
      <c r="A11" s="50"/>
      <c r="B11" s="51" t="s">
        <v>56</v>
      </c>
      <c r="C11" s="50"/>
      <c r="D11" s="52">
        <f>C7*C9</f>
        <v>40544.32</v>
      </c>
      <c r="E11" s="51"/>
    </row>
    <row r="12" spans="1:5" ht="15.6" x14ac:dyDescent="0.3">
      <c r="A12" s="50"/>
      <c r="B12" s="51" t="s">
        <v>64</v>
      </c>
      <c r="C12" s="50"/>
      <c r="D12" s="70">
        <f>D11+(C10/12)</f>
        <v>41710.986666666664</v>
      </c>
      <c r="E12" s="51"/>
    </row>
    <row r="13" spans="1:5" ht="15.6" x14ac:dyDescent="0.3">
      <c r="A13" s="97" t="s">
        <v>7</v>
      </c>
      <c r="B13" s="98"/>
      <c r="C13" s="97">
        <f>(C7*C9*12)+C10</f>
        <v>500531.83999999997</v>
      </c>
      <c r="D13" s="104"/>
      <c r="E13" s="98"/>
    </row>
    <row r="14" spans="1:5" ht="15.6" x14ac:dyDescent="0.3">
      <c r="A14" s="97" t="s">
        <v>8</v>
      </c>
      <c r="B14" s="104"/>
      <c r="C14" s="104"/>
      <c r="D14" s="104"/>
      <c r="E14" s="98"/>
    </row>
    <row r="15" spans="1:5" ht="46.8" x14ac:dyDescent="0.3">
      <c r="A15" s="4"/>
      <c r="B15" s="10" t="s">
        <v>12</v>
      </c>
      <c r="C15" s="10" t="s">
        <v>13</v>
      </c>
      <c r="D15" s="11" t="s">
        <v>14</v>
      </c>
      <c r="E15" s="10" t="s">
        <v>15</v>
      </c>
    </row>
    <row r="16" spans="1:5" ht="18" x14ac:dyDescent="0.35">
      <c r="A16" s="23">
        <v>1</v>
      </c>
      <c r="B16" s="14" t="s">
        <v>9</v>
      </c>
      <c r="C16" s="21">
        <f>C17+C18</f>
        <v>8405.2780400000011</v>
      </c>
      <c r="D16" s="21">
        <f>D17+D18</f>
        <v>2.3674729388613089</v>
      </c>
      <c r="E16" s="21">
        <f>E17+E18</f>
        <v>100863.33648</v>
      </c>
    </row>
    <row r="17" spans="1:6" ht="15.6" x14ac:dyDescent="0.3">
      <c r="A17" s="24" t="s">
        <v>10</v>
      </c>
      <c r="B17" s="8" t="s">
        <v>11</v>
      </c>
      <c r="C17" s="54">
        <f>(D11*13.8%)+(C10*13.8%/12)</f>
        <v>5756.1161600000005</v>
      </c>
      <c r="D17" s="54">
        <f>C17/C7</f>
        <v>1.5446440788944051</v>
      </c>
      <c r="E17" s="54">
        <f>C17*12</f>
        <v>69073.393920000002</v>
      </c>
    </row>
    <row r="18" spans="1:6" ht="15.6" x14ac:dyDescent="0.3">
      <c r="A18" s="4" t="s">
        <v>16</v>
      </c>
      <c r="B18" s="8" t="s">
        <v>17</v>
      </c>
      <c r="C18" s="62">
        <f>SUM(C19:C21)</f>
        <v>2649.1618800000006</v>
      </c>
      <c r="D18" s="62">
        <f>SUM(D19:D22)</f>
        <v>0.8228288599669038</v>
      </c>
      <c r="E18" s="62">
        <f t="shared" ref="E18" si="0">SUM(E19:E21)</f>
        <v>31789.942560000003</v>
      </c>
    </row>
    <row r="19" spans="1:6" ht="15.6" x14ac:dyDescent="0.3">
      <c r="A19" s="24" t="s">
        <v>18</v>
      </c>
      <c r="B19" s="8" t="s">
        <v>19</v>
      </c>
      <c r="C19" s="54">
        <f>E19/12</f>
        <v>264.5</v>
      </c>
      <c r="D19" s="54">
        <f>C19/C7</f>
        <v>7.0978129612236679E-2</v>
      </c>
      <c r="E19" s="54">
        <v>3174</v>
      </c>
    </row>
    <row r="20" spans="1:6" ht="42" x14ac:dyDescent="0.3">
      <c r="A20" s="24" t="s">
        <v>20</v>
      </c>
      <c r="B20" s="13" t="s">
        <v>21</v>
      </c>
      <c r="C20" s="7">
        <f>D20*C7</f>
        <v>1006.1550000000001</v>
      </c>
      <c r="D20" s="2">
        <v>0.27</v>
      </c>
      <c r="E20" s="7">
        <f>C20*12</f>
        <v>12073.86</v>
      </c>
    </row>
    <row r="21" spans="1:6" ht="15.6" x14ac:dyDescent="0.3">
      <c r="A21" s="24" t="s">
        <v>22</v>
      </c>
      <c r="B21" s="8" t="s">
        <v>23</v>
      </c>
      <c r="C21" s="7">
        <f>D11*3.4%</f>
        <v>1378.5068800000001</v>
      </c>
      <c r="D21" s="7">
        <f>C21/C7</f>
        <v>0.36992000000000003</v>
      </c>
      <c r="E21" s="7">
        <f>C21*12</f>
        <v>16542.082560000003</v>
      </c>
    </row>
    <row r="22" spans="1:6" ht="15.6" x14ac:dyDescent="0.3">
      <c r="A22" s="24" t="s">
        <v>66</v>
      </c>
      <c r="B22" s="8" t="s">
        <v>67</v>
      </c>
      <c r="C22" s="7">
        <f>E22/12</f>
        <v>417.10986666666668</v>
      </c>
      <c r="D22" s="7">
        <f>C22/C7</f>
        <v>0.11193073035466702</v>
      </c>
      <c r="E22" s="7">
        <f>C13*1%</f>
        <v>5005.3184000000001</v>
      </c>
    </row>
    <row r="23" spans="1:6" ht="18" x14ac:dyDescent="0.35">
      <c r="A23" s="25" t="s">
        <v>24</v>
      </c>
      <c r="B23" s="14" t="s">
        <v>25</v>
      </c>
      <c r="C23" s="21">
        <f>C24+C28+C34</f>
        <v>23345.403333333335</v>
      </c>
      <c r="D23" s="21">
        <f>D24+D28+D34</f>
        <v>6.2646996735095479</v>
      </c>
      <c r="E23" s="21">
        <f>E24+E28+E34</f>
        <v>280144.84000000003</v>
      </c>
    </row>
    <row r="24" spans="1:6" ht="17.399999999999999" x14ac:dyDescent="0.3">
      <c r="A24" s="65" t="s">
        <v>26</v>
      </c>
      <c r="B24" s="15" t="s">
        <v>27</v>
      </c>
      <c r="C24" s="22">
        <f>SUM(C25:C27)</f>
        <v>871.68833333333339</v>
      </c>
      <c r="D24" s="22">
        <f>SUM(D25:D27)</f>
        <v>0.23391609642649491</v>
      </c>
      <c r="E24" s="22">
        <f>SUM(E25:E27)</f>
        <v>10460.26</v>
      </c>
    </row>
    <row r="25" spans="1:6" ht="15.6" x14ac:dyDescent="0.3">
      <c r="A25" s="57" t="s">
        <v>28</v>
      </c>
      <c r="B25" s="13" t="s">
        <v>61</v>
      </c>
      <c r="C25" s="7">
        <f>D25*C7</f>
        <v>670.77</v>
      </c>
      <c r="D25" s="2">
        <v>0.18</v>
      </c>
      <c r="E25" s="7">
        <f>C25*12</f>
        <v>8049.24</v>
      </c>
    </row>
    <row r="26" spans="1:6" ht="15.6" x14ac:dyDescent="0.3">
      <c r="A26" s="57" t="s">
        <v>29</v>
      </c>
      <c r="B26" s="2" t="s">
        <v>30</v>
      </c>
      <c r="C26" s="7">
        <f>D26*C7</f>
        <v>186.32500000000002</v>
      </c>
      <c r="D26" s="2">
        <v>0.05</v>
      </c>
      <c r="E26" s="7">
        <f>C26*12</f>
        <v>2235.9</v>
      </c>
    </row>
    <row r="27" spans="1:6" ht="15.6" x14ac:dyDescent="0.3">
      <c r="A27" s="57" t="s">
        <v>31</v>
      </c>
      <c r="B27" s="55" t="s">
        <v>57</v>
      </c>
      <c r="C27" s="54">
        <f>E27/12</f>
        <v>14.593333333333334</v>
      </c>
      <c r="D27" s="56">
        <f>C27/C7</f>
        <v>3.9160964264949236E-3</v>
      </c>
      <c r="E27" s="55">
        <f>87.56*2</f>
        <v>175.12</v>
      </c>
      <c r="F27" s="67"/>
    </row>
    <row r="28" spans="1:6" ht="17.399999999999999" x14ac:dyDescent="0.3">
      <c r="A28" s="65" t="s">
        <v>32</v>
      </c>
      <c r="B28" s="17" t="s">
        <v>33</v>
      </c>
      <c r="C28" s="22">
        <f>SUM(C29:C33)</f>
        <v>11815.310000000001</v>
      </c>
      <c r="D28" s="22">
        <f>SUM(D29:D33)</f>
        <v>3.1706185428686431</v>
      </c>
      <c r="E28" s="22">
        <f>SUM(E29:E33)</f>
        <v>141783.72</v>
      </c>
    </row>
    <row r="29" spans="1:6" ht="15.6" x14ac:dyDescent="0.3">
      <c r="A29" s="57" t="s">
        <v>34</v>
      </c>
      <c r="B29" s="13" t="s">
        <v>62</v>
      </c>
      <c r="C29" s="7">
        <f>D29*C7</f>
        <v>6521.375</v>
      </c>
      <c r="D29" s="2">
        <v>1.75</v>
      </c>
      <c r="E29" s="7">
        <f>C29*12</f>
        <v>78256.5</v>
      </c>
    </row>
    <row r="30" spans="1:6" ht="15.6" x14ac:dyDescent="0.3">
      <c r="A30" s="57" t="s">
        <v>35</v>
      </c>
      <c r="B30" s="55" t="s">
        <v>36</v>
      </c>
      <c r="C30" s="55">
        <v>2350</v>
      </c>
      <c r="D30" s="7">
        <f>C30/C7</f>
        <v>0.63061854286864349</v>
      </c>
      <c r="E30" s="2">
        <f>C30*12</f>
        <v>28200</v>
      </c>
    </row>
    <row r="31" spans="1:6" ht="15.6" x14ac:dyDescent="0.3">
      <c r="A31" s="57" t="s">
        <v>37</v>
      </c>
      <c r="B31" s="55" t="s">
        <v>30</v>
      </c>
      <c r="C31" s="54">
        <f>D31*C7</f>
        <v>335.38499999999999</v>
      </c>
      <c r="D31" s="2">
        <v>0.09</v>
      </c>
      <c r="E31" s="7">
        <f>C31*12</f>
        <v>4024.62</v>
      </c>
    </row>
    <row r="32" spans="1:6" ht="15.6" x14ac:dyDescent="0.3">
      <c r="A32" s="57" t="s">
        <v>38</v>
      </c>
      <c r="B32" s="2" t="s">
        <v>40</v>
      </c>
      <c r="C32" s="7">
        <f>D32*C7</f>
        <v>111.795</v>
      </c>
      <c r="D32" s="2">
        <v>0.03</v>
      </c>
      <c r="E32" s="7">
        <f>C32*12</f>
        <v>1341.54</v>
      </c>
    </row>
    <row r="33" spans="1:5" ht="15.6" x14ac:dyDescent="0.3">
      <c r="A33" s="57" t="s">
        <v>39</v>
      </c>
      <c r="B33" s="2" t="s">
        <v>41</v>
      </c>
      <c r="C33" s="7">
        <f>D33*C7</f>
        <v>2496.7550000000001</v>
      </c>
      <c r="D33" s="2">
        <v>0.67</v>
      </c>
      <c r="E33" s="7">
        <f>C33*12</f>
        <v>29961.06</v>
      </c>
    </row>
    <row r="34" spans="1:5" ht="31.2" x14ac:dyDescent="0.3">
      <c r="A34" s="65" t="s">
        <v>42</v>
      </c>
      <c r="B34" s="18" t="s">
        <v>43</v>
      </c>
      <c r="C34" s="22">
        <f>SUM(C35:C40)</f>
        <v>10658.405000000001</v>
      </c>
      <c r="D34" s="22">
        <f>SUM(D35:D40)</f>
        <v>2.8601650342144098</v>
      </c>
      <c r="E34" s="22">
        <f>SUM(E35:E40)</f>
        <v>127900.86</v>
      </c>
    </row>
    <row r="35" spans="1:5" ht="27" x14ac:dyDescent="0.3">
      <c r="A35" s="57" t="s">
        <v>44</v>
      </c>
      <c r="B35" s="12" t="s">
        <v>73</v>
      </c>
      <c r="C35" s="7">
        <f>D35*C7</f>
        <v>9428.0450000000001</v>
      </c>
      <c r="D35" s="2">
        <v>2.5299999999999998</v>
      </c>
      <c r="E35" s="7">
        <f>C35*12</f>
        <v>113136.54000000001</v>
      </c>
    </row>
    <row r="36" spans="1:5" ht="15.6" x14ac:dyDescent="0.3">
      <c r="A36" s="57" t="s">
        <v>46</v>
      </c>
      <c r="B36" s="58" t="s">
        <v>45</v>
      </c>
      <c r="C36" s="54">
        <f>D36*C7</f>
        <v>335.38499999999999</v>
      </c>
      <c r="D36" s="55">
        <v>0.09</v>
      </c>
      <c r="E36" s="54">
        <f t="shared" ref="E36:E40" si="1">C36*12</f>
        <v>4024.62</v>
      </c>
    </row>
    <row r="37" spans="1:5" ht="15.6" x14ac:dyDescent="0.3">
      <c r="A37" s="57" t="s">
        <v>47</v>
      </c>
      <c r="B37" s="55" t="s">
        <v>48</v>
      </c>
      <c r="C37" s="54">
        <f>D37*C7</f>
        <v>74.53</v>
      </c>
      <c r="D37" s="55">
        <v>0.02</v>
      </c>
      <c r="E37" s="54">
        <f t="shared" si="1"/>
        <v>894.36</v>
      </c>
    </row>
    <row r="38" spans="1:5" ht="15.6" x14ac:dyDescent="0.3">
      <c r="A38" s="57" t="s">
        <v>49</v>
      </c>
      <c r="B38" s="55" t="s">
        <v>50</v>
      </c>
      <c r="C38" s="54">
        <f>D38*C7</f>
        <v>111.795</v>
      </c>
      <c r="D38" s="55">
        <v>0.03</v>
      </c>
      <c r="E38" s="54">
        <f t="shared" si="1"/>
        <v>1341.54</v>
      </c>
    </row>
    <row r="39" spans="1:5" ht="15.6" x14ac:dyDescent="0.3">
      <c r="A39" s="57" t="s">
        <v>51</v>
      </c>
      <c r="B39" s="55" t="s">
        <v>52</v>
      </c>
      <c r="C39" s="59">
        <f>E39/12</f>
        <v>336</v>
      </c>
      <c r="D39" s="59">
        <f>C39/C7</f>
        <v>9.01650342144103E-2</v>
      </c>
      <c r="E39" s="59">
        <f>C8*4*2</f>
        <v>4032</v>
      </c>
    </row>
    <row r="40" spans="1:5" ht="15.6" x14ac:dyDescent="0.3">
      <c r="A40" s="57" t="s">
        <v>55</v>
      </c>
      <c r="B40" s="55" t="s">
        <v>30</v>
      </c>
      <c r="C40" s="54">
        <f>D40*C7</f>
        <v>372.65000000000003</v>
      </c>
      <c r="D40" s="55">
        <v>0.1</v>
      </c>
      <c r="E40" s="54">
        <f t="shared" si="1"/>
        <v>4471.8</v>
      </c>
    </row>
    <row r="41" spans="1:5" ht="17.399999999999999" x14ac:dyDescent="0.3">
      <c r="A41" s="26" t="s">
        <v>68</v>
      </c>
      <c r="B41" s="16" t="s">
        <v>59</v>
      </c>
      <c r="C41" s="22">
        <f>D41*C7</f>
        <v>8376.5287600000011</v>
      </c>
      <c r="D41" s="22">
        <f>C9-D16-D23</f>
        <v>2.247827387629143</v>
      </c>
      <c r="E41" s="22">
        <f>C41*12</f>
        <v>100518.34512000001</v>
      </c>
    </row>
    <row r="42" spans="1:5" ht="15.6" x14ac:dyDescent="0.3">
      <c r="A42" s="24" t="s">
        <v>77</v>
      </c>
      <c r="B42" s="2" t="s">
        <v>78</v>
      </c>
      <c r="C42" s="7">
        <f>E42/12</f>
        <v>2376.5291666666667</v>
      </c>
      <c r="D42" s="7">
        <f>C42/C7</f>
        <v>0.63773760007155955</v>
      </c>
      <c r="E42" s="55">
        <v>28518.35</v>
      </c>
    </row>
    <row r="43" spans="1:5" ht="15.6" x14ac:dyDescent="0.3">
      <c r="A43" s="24" t="s">
        <v>79</v>
      </c>
      <c r="B43" s="2" t="s">
        <v>140</v>
      </c>
      <c r="C43" s="7">
        <f>E43/12</f>
        <v>3083.3333333333335</v>
      </c>
      <c r="D43" s="7">
        <f>C43/C7</f>
        <v>0.8274073080191422</v>
      </c>
      <c r="E43" s="55">
        <v>37000</v>
      </c>
    </row>
    <row r="44" spans="1:5" ht="15.6" x14ac:dyDescent="0.3">
      <c r="A44" s="24" t="s">
        <v>80</v>
      </c>
      <c r="B44" s="2" t="s">
        <v>141</v>
      </c>
      <c r="C44" s="7">
        <f>E44/12</f>
        <v>2916.6666666666665</v>
      </c>
      <c r="D44" s="7">
        <f>C44/C7</f>
        <v>0.78268258866675611</v>
      </c>
      <c r="E44" s="55">
        <v>35000</v>
      </c>
    </row>
    <row r="45" spans="1:5" ht="15.6" x14ac:dyDescent="0.3">
      <c r="A45" s="24"/>
      <c r="B45" s="2"/>
      <c r="C45" s="7">
        <f>E45/12</f>
        <v>0</v>
      </c>
      <c r="D45" s="7">
        <f>C45/C7</f>
        <v>0</v>
      </c>
      <c r="E45" s="55"/>
    </row>
    <row r="46" spans="1:5" ht="15.6" x14ac:dyDescent="0.3">
      <c r="A46" s="24"/>
      <c r="B46" s="2"/>
      <c r="C46" s="7">
        <f>E46/12</f>
        <v>0</v>
      </c>
      <c r="D46" s="7">
        <f>C46/C7</f>
        <v>0</v>
      </c>
      <c r="E46" s="55"/>
    </row>
    <row r="47" spans="1:5" ht="15.6" x14ac:dyDescent="0.3">
      <c r="A47" s="24"/>
      <c r="B47" s="2"/>
      <c r="C47" s="7">
        <f t="shared" ref="C47:C55" si="2">E47/12</f>
        <v>0</v>
      </c>
      <c r="D47" s="7">
        <f>C47/C7</f>
        <v>0</v>
      </c>
      <c r="E47" s="55"/>
    </row>
    <row r="48" spans="1:5" ht="15.6" x14ac:dyDescent="0.3">
      <c r="A48" s="24"/>
      <c r="B48" s="2"/>
      <c r="C48" s="7">
        <f t="shared" si="2"/>
        <v>0</v>
      </c>
      <c r="D48" s="7">
        <f>C48/C7</f>
        <v>0</v>
      </c>
      <c r="E48" s="55"/>
    </row>
    <row r="49" spans="1:5" ht="15.6" x14ac:dyDescent="0.3">
      <c r="A49" s="38"/>
      <c r="B49" s="2"/>
      <c r="C49" s="7">
        <f t="shared" si="2"/>
        <v>0</v>
      </c>
      <c r="D49" s="7">
        <f>C49/C7</f>
        <v>0</v>
      </c>
      <c r="E49" s="55"/>
    </row>
    <row r="50" spans="1:5" ht="15.6" x14ac:dyDescent="0.3">
      <c r="A50" s="24"/>
      <c r="B50" s="2"/>
      <c r="C50" s="7">
        <f t="shared" si="2"/>
        <v>0</v>
      </c>
      <c r="D50" s="7">
        <f>C50/C7</f>
        <v>0</v>
      </c>
      <c r="E50" s="55"/>
    </row>
    <row r="51" spans="1:5" ht="15.6" x14ac:dyDescent="0.3">
      <c r="A51" s="24"/>
      <c r="B51" s="2"/>
      <c r="C51" s="7">
        <f t="shared" si="2"/>
        <v>0</v>
      </c>
      <c r="D51" s="7">
        <f>C51/C7</f>
        <v>0</v>
      </c>
      <c r="E51" s="55"/>
    </row>
    <row r="52" spans="1:5" ht="15.6" x14ac:dyDescent="0.3">
      <c r="A52" s="24"/>
      <c r="B52" s="2"/>
      <c r="C52" s="7">
        <f t="shared" si="2"/>
        <v>0</v>
      </c>
      <c r="D52" s="7">
        <f>C52/C7</f>
        <v>0</v>
      </c>
      <c r="E52" s="55"/>
    </row>
    <row r="53" spans="1:5" ht="15.6" x14ac:dyDescent="0.3">
      <c r="A53" s="24"/>
      <c r="B53" s="2"/>
      <c r="C53" s="7">
        <f t="shared" si="2"/>
        <v>0</v>
      </c>
      <c r="D53" s="7">
        <f>C53/C7</f>
        <v>0</v>
      </c>
      <c r="E53" s="55"/>
    </row>
    <row r="54" spans="1:5" ht="15.6" x14ac:dyDescent="0.3">
      <c r="A54" s="24"/>
      <c r="B54" s="2"/>
      <c r="C54" s="7">
        <f t="shared" si="2"/>
        <v>0</v>
      </c>
      <c r="D54" s="7">
        <f>C54/C7</f>
        <v>0</v>
      </c>
      <c r="E54" s="55"/>
    </row>
    <row r="55" spans="1:5" ht="15.6" x14ac:dyDescent="0.3">
      <c r="A55" s="24"/>
      <c r="B55" s="2"/>
      <c r="C55" s="7">
        <f t="shared" si="2"/>
        <v>0</v>
      </c>
      <c r="D55" s="7">
        <f>C55/C7</f>
        <v>0</v>
      </c>
      <c r="E55" s="55"/>
    </row>
    <row r="56" spans="1:5" ht="15.6" x14ac:dyDescent="0.3">
      <c r="A56" s="24"/>
      <c r="B56" s="40" t="s">
        <v>70</v>
      </c>
      <c r="C56" s="41">
        <f>SUM(C42:C55)</f>
        <v>8376.5291666666672</v>
      </c>
      <c r="D56" s="41">
        <f>SUM(D42:D55)</f>
        <v>2.2478274967574579</v>
      </c>
      <c r="E56" s="40">
        <f>SUM(E42:E55)</f>
        <v>100518.35</v>
      </c>
    </row>
    <row r="57" spans="1:5" ht="15.6" x14ac:dyDescent="0.3">
      <c r="A57" s="31"/>
      <c r="B57" s="32" t="s">
        <v>60</v>
      </c>
      <c r="C57" s="30">
        <f>D57*C7</f>
        <v>40544.32</v>
      </c>
      <c r="D57" s="30">
        <f>D41+D23+D16</f>
        <v>10.879999999999999</v>
      </c>
      <c r="E57" s="30">
        <f>C57*12</f>
        <v>486531.83999999997</v>
      </c>
    </row>
    <row r="58" spans="1:5" ht="15.6" x14ac:dyDescent="0.3">
      <c r="A58" s="31" t="s">
        <v>69</v>
      </c>
      <c r="B58" s="16" t="s">
        <v>65</v>
      </c>
      <c r="C58" s="16">
        <f>D58*C7</f>
        <v>1166.6666666666667</v>
      </c>
      <c r="D58" s="22">
        <f>C10/C7/12</f>
        <v>0.31307303546670245</v>
      </c>
      <c r="E58" s="16">
        <f>C58*12</f>
        <v>14000</v>
      </c>
    </row>
    <row r="59" spans="1:5" ht="15.6" x14ac:dyDescent="0.3">
      <c r="A59" s="24" t="s">
        <v>74</v>
      </c>
      <c r="B59" s="55" t="s">
        <v>72</v>
      </c>
      <c r="C59" s="76">
        <f>E59/12</f>
        <v>1166.6666666666667</v>
      </c>
      <c r="D59" s="54">
        <f>C59/C7</f>
        <v>0.31307303546670245</v>
      </c>
      <c r="E59" s="55">
        <v>14000</v>
      </c>
    </row>
    <row r="60" spans="1:5" ht="15.6" x14ac:dyDescent="0.3">
      <c r="A60" s="24" t="s">
        <v>75</v>
      </c>
      <c r="B60" s="55"/>
      <c r="C60" s="76"/>
      <c r="D60" s="54"/>
      <c r="E60" s="55"/>
    </row>
    <row r="61" spans="1:5" ht="15.6" x14ac:dyDescent="0.3">
      <c r="A61" s="24"/>
      <c r="B61" s="55"/>
      <c r="C61" s="76"/>
      <c r="D61" s="54"/>
      <c r="E61" s="55"/>
    </row>
    <row r="62" spans="1:5" ht="15.6" x14ac:dyDescent="0.3">
      <c r="A62" s="4"/>
      <c r="B62" s="55"/>
      <c r="C62" s="76"/>
      <c r="D62" s="54"/>
      <c r="E62" s="55"/>
    </row>
    <row r="63" spans="1:5" ht="15.6" x14ac:dyDescent="0.3">
      <c r="A63" s="4"/>
      <c r="B63" s="42" t="s">
        <v>70</v>
      </c>
      <c r="C63" s="42"/>
      <c r="D63" s="43">
        <f>SUM(D59:D62)</f>
        <v>0.31307303546670245</v>
      </c>
      <c r="E63" s="42"/>
    </row>
    <row r="64" spans="1:5" x14ac:dyDescent="0.3">
      <c r="A64" s="119" t="s">
        <v>166</v>
      </c>
      <c r="B64" s="120"/>
      <c r="C64" s="120"/>
      <c r="D64" s="120"/>
      <c r="E64" s="121"/>
    </row>
    <row r="65" spans="1:5" x14ac:dyDescent="0.3">
      <c r="A65" s="122"/>
      <c r="B65" s="123"/>
      <c r="C65" s="123"/>
      <c r="D65" s="123"/>
      <c r="E65" s="124"/>
    </row>
    <row r="66" spans="1:5" x14ac:dyDescent="0.3">
      <c r="A66" s="122"/>
      <c r="B66" s="123"/>
      <c r="C66" s="123"/>
      <c r="D66" s="123"/>
      <c r="E66" s="124"/>
    </row>
    <row r="67" spans="1:5" x14ac:dyDescent="0.3">
      <c r="A67" s="125"/>
      <c r="B67" s="126"/>
      <c r="C67" s="126"/>
      <c r="D67" s="126"/>
      <c r="E67" s="127"/>
    </row>
    <row r="68" spans="1:5" ht="41.25" customHeight="1" x14ac:dyDescent="0.3">
      <c r="A68" s="114" t="s">
        <v>167</v>
      </c>
      <c r="B68" s="115"/>
      <c r="C68" s="3"/>
      <c r="D68" s="3"/>
      <c r="E68" s="3"/>
    </row>
  </sheetData>
  <mergeCells count="18">
    <mergeCell ref="A10:B10"/>
    <mergeCell ref="C10:E10"/>
    <mergeCell ref="A64:E67"/>
    <mergeCell ref="A68:B68"/>
    <mergeCell ref="A7:B7"/>
    <mergeCell ref="C7:E7"/>
    <mergeCell ref="A13:B13"/>
    <mergeCell ref="C13:E13"/>
    <mergeCell ref="A14:E14"/>
    <mergeCell ref="A8:B8"/>
    <mergeCell ref="C8:E8"/>
    <mergeCell ref="A9:B9"/>
    <mergeCell ref="C9:E9"/>
    <mergeCell ref="A2:E4"/>
    <mergeCell ref="A5:B5"/>
    <mergeCell ref="C5:E5"/>
    <mergeCell ref="A6:B6"/>
    <mergeCell ref="C6:E6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68"/>
  <sheetViews>
    <sheetView topLeftCell="A44" workbookViewId="0">
      <selection activeCell="I54" sqref="I54"/>
    </sheetView>
  </sheetViews>
  <sheetFormatPr defaultRowHeight="13.8" x14ac:dyDescent="0.3"/>
  <cols>
    <col min="1" max="1" width="8.5546875" style="29" customWidth="1"/>
    <col min="2" max="2" width="51.88671875" customWidth="1"/>
    <col min="3" max="3" width="11.6640625" customWidth="1"/>
    <col min="4" max="4" width="11.88671875" customWidth="1"/>
    <col min="5" max="5" width="12.33203125" customWidth="1"/>
  </cols>
  <sheetData>
    <row r="2" spans="1:5" x14ac:dyDescent="0.3">
      <c r="A2" s="102" t="s">
        <v>93</v>
      </c>
      <c r="B2" s="102"/>
      <c r="C2" s="102"/>
      <c r="D2" s="102"/>
      <c r="E2" s="102"/>
    </row>
    <row r="3" spans="1:5" x14ac:dyDescent="0.3">
      <c r="A3" s="102"/>
      <c r="B3" s="102"/>
      <c r="C3" s="102"/>
      <c r="D3" s="102"/>
      <c r="E3" s="102"/>
    </row>
    <row r="4" spans="1:5" x14ac:dyDescent="0.3">
      <c r="A4" s="103"/>
      <c r="B4" s="103"/>
      <c r="C4" s="103"/>
      <c r="D4" s="103"/>
      <c r="E4" s="103"/>
    </row>
    <row r="5" spans="1:5" ht="15.6" x14ac:dyDescent="0.3">
      <c r="A5" s="97" t="s">
        <v>0</v>
      </c>
      <c r="B5" s="98"/>
      <c r="C5" s="97" t="s">
        <v>1</v>
      </c>
      <c r="D5" s="104"/>
      <c r="E5" s="98"/>
    </row>
    <row r="6" spans="1:5" ht="15.6" x14ac:dyDescent="0.3">
      <c r="A6" s="97" t="s">
        <v>2</v>
      </c>
      <c r="B6" s="98"/>
      <c r="C6" s="133">
        <v>2</v>
      </c>
      <c r="D6" s="134"/>
      <c r="E6" s="135"/>
    </row>
    <row r="7" spans="1:5" ht="15.6" x14ac:dyDescent="0.3">
      <c r="A7" s="97" t="s">
        <v>3</v>
      </c>
      <c r="B7" s="98"/>
      <c r="C7" s="133">
        <v>3956.2</v>
      </c>
      <c r="D7" s="134"/>
      <c r="E7" s="135"/>
    </row>
    <row r="8" spans="1:5" ht="15.6" x14ac:dyDescent="0.3">
      <c r="A8" s="97" t="s">
        <v>4</v>
      </c>
      <c r="B8" s="98"/>
      <c r="C8" s="133">
        <v>437</v>
      </c>
      <c r="D8" s="134"/>
      <c r="E8" s="135"/>
    </row>
    <row r="9" spans="1:5" ht="15.6" x14ac:dyDescent="0.3">
      <c r="A9" s="97" t="s">
        <v>5</v>
      </c>
      <c r="B9" s="98"/>
      <c r="C9" s="133">
        <v>12</v>
      </c>
      <c r="D9" s="134"/>
      <c r="E9" s="135"/>
    </row>
    <row r="10" spans="1:5" ht="15.6" x14ac:dyDescent="0.3">
      <c r="A10" s="97" t="s">
        <v>6</v>
      </c>
      <c r="B10" s="98"/>
      <c r="C10" s="133">
        <v>21000</v>
      </c>
      <c r="D10" s="134"/>
      <c r="E10" s="135"/>
    </row>
    <row r="11" spans="1:5" ht="15.6" x14ac:dyDescent="0.3">
      <c r="A11" s="50"/>
      <c r="B11" s="51" t="s">
        <v>56</v>
      </c>
      <c r="C11" s="50"/>
      <c r="D11" s="52">
        <f>C7*C9</f>
        <v>47474.399999999994</v>
      </c>
      <c r="E11" s="51"/>
    </row>
    <row r="12" spans="1:5" ht="15.6" x14ac:dyDescent="0.3">
      <c r="A12" s="50"/>
      <c r="B12" s="51" t="s">
        <v>64</v>
      </c>
      <c r="C12" s="50"/>
      <c r="D12" s="52">
        <f>D11+(C10/12)</f>
        <v>49224.399999999994</v>
      </c>
      <c r="E12" s="51"/>
    </row>
    <row r="13" spans="1:5" ht="15.6" x14ac:dyDescent="0.3">
      <c r="A13" s="97" t="s">
        <v>7</v>
      </c>
      <c r="B13" s="98"/>
      <c r="C13" s="97">
        <f>(C7*C9*12)+C10</f>
        <v>590692.79999999993</v>
      </c>
      <c r="D13" s="104"/>
      <c r="E13" s="98"/>
    </row>
    <row r="14" spans="1:5" ht="15.6" x14ac:dyDescent="0.3">
      <c r="A14" s="97" t="s">
        <v>8</v>
      </c>
      <c r="B14" s="104"/>
      <c r="C14" s="104"/>
      <c r="D14" s="104"/>
      <c r="E14" s="98"/>
    </row>
    <row r="15" spans="1:5" ht="46.8" x14ac:dyDescent="0.3">
      <c r="A15" s="4"/>
      <c r="B15" s="10" t="s">
        <v>12</v>
      </c>
      <c r="C15" s="10" t="s">
        <v>13</v>
      </c>
      <c r="D15" s="11" t="s">
        <v>14</v>
      </c>
      <c r="E15" s="10" t="s">
        <v>15</v>
      </c>
    </row>
    <row r="16" spans="1:5" ht="18" x14ac:dyDescent="0.35">
      <c r="A16" s="23">
        <v>1</v>
      </c>
      <c r="B16" s="14" t="s">
        <v>9</v>
      </c>
      <c r="C16" s="21">
        <f>C17+C18</f>
        <v>10172.0208</v>
      </c>
      <c r="D16" s="21">
        <f>D17+D18</f>
        <v>2.6955828320105155</v>
      </c>
      <c r="E16" s="21">
        <f>E17+E18</f>
        <v>122064.24960000001</v>
      </c>
    </row>
    <row r="17" spans="1:5" ht="15.6" x14ac:dyDescent="0.3">
      <c r="A17" s="24" t="s">
        <v>10</v>
      </c>
      <c r="B17" s="8" t="s">
        <v>11</v>
      </c>
      <c r="C17" s="54">
        <f>(D11*13.8%)+(C10*13.8%/12)</f>
        <v>6792.9672</v>
      </c>
      <c r="D17" s="54">
        <f>C17/C7</f>
        <v>1.7170434255093272</v>
      </c>
      <c r="E17" s="54">
        <f>C17*12</f>
        <v>81515.606400000004</v>
      </c>
    </row>
    <row r="18" spans="1:5" ht="15.6" x14ac:dyDescent="0.3">
      <c r="A18" s="4" t="s">
        <v>16</v>
      </c>
      <c r="B18" s="8" t="s">
        <v>17</v>
      </c>
      <c r="C18" s="62">
        <f>SUM(C19:C21)</f>
        <v>3379.0536000000002</v>
      </c>
      <c r="D18" s="62">
        <f>SUM(D19:D22)</f>
        <v>0.97853940650118809</v>
      </c>
      <c r="E18" s="62">
        <f t="shared" ref="E18" si="0">SUM(E19:E21)</f>
        <v>40548.643199999999</v>
      </c>
    </row>
    <row r="19" spans="1:5" ht="15.6" x14ac:dyDescent="0.3">
      <c r="A19" s="24" t="s">
        <v>18</v>
      </c>
      <c r="B19" s="8" t="s">
        <v>19</v>
      </c>
      <c r="C19" s="54">
        <f>E19/12</f>
        <v>696.75</v>
      </c>
      <c r="D19" s="54">
        <f>C19/C7</f>
        <v>0.17611596987007735</v>
      </c>
      <c r="E19" s="54">
        <v>8361</v>
      </c>
    </row>
    <row r="20" spans="1:5" ht="42" x14ac:dyDescent="0.3">
      <c r="A20" s="24" t="s">
        <v>20</v>
      </c>
      <c r="B20" s="13" t="s">
        <v>21</v>
      </c>
      <c r="C20" s="54">
        <f>D20*C7</f>
        <v>1068.174</v>
      </c>
      <c r="D20" s="55">
        <v>0.27</v>
      </c>
      <c r="E20" s="54">
        <f>C20*12</f>
        <v>12818.088</v>
      </c>
    </row>
    <row r="21" spans="1:5" ht="15.6" x14ac:dyDescent="0.3">
      <c r="A21" s="24" t="s">
        <v>22</v>
      </c>
      <c r="B21" s="8" t="s">
        <v>23</v>
      </c>
      <c r="C21" s="7">
        <f>D11*3.4%</f>
        <v>1614.1296</v>
      </c>
      <c r="D21" s="7">
        <f>C21/C7</f>
        <v>0.40800000000000003</v>
      </c>
      <c r="E21" s="7">
        <f>C21*12</f>
        <v>19369.555199999999</v>
      </c>
    </row>
    <row r="22" spans="1:5" ht="15.6" x14ac:dyDescent="0.3">
      <c r="A22" s="24" t="s">
        <v>66</v>
      </c>
      <c r="B22" s="8" t="s">
        <v>67</v>
      </c>
      <c r="C22" s="7">
        <f>E22/12</f>
        <v>492.24399999999991</v>
      </c>
      <c r="D22" s="7">
        <f>C22/C7</f>
        <v>0.12442343663111065</v>
      </c>
      <c r="E22" s="7">
        <f>C13*1%</f>
        <v>5906.927999999999</v>
      </c>
    </row>
    <row r="23" spans="1:5" ht="18" x14ac:dyDescent="0.35">
      <c r="A23" s="25" t="s">
        <v>24</v>
      </c>
      <c r="B23" s="14" t="s">
        <v>25</v>
      </c>
      <c r="C23" s="21">
        <f>C24+C28+C34</f>
        <v>24573.274666666664</v>
      </c>
      <c r="D23" s="21">
        <f>D24+D28+D34</f>
        <v>6.2113327603929687</v>
      </c>
      <c r="E23" s="21">
        <f>E24+E28+E34</f>
        <v>294879.29599999997</v>
      </c>
    </row>
    <row r="24" spans="1:5" ht="17.399999999999999" x14ac:dyDescent="0.3">
      <c r="A24" s="26" t="s">
        <v>26</v>
      </c>
      <c r="B24" s="15" t="s">
        <v>27</v>
      </c>
      <c r="C24" s="22">
        <f>SUM(C25:C27)</f>
        <v>924.51933333333329</v>
      </c>
      <c r="D24" s="22">
        <f>SUM(D25:D27)</f>
        <v>0.23368872487066711</v>
      </c>
      <c r="E24" s="22">
        <f>SUM(E25:E27)</f>
        <v>11094.232000000002</v>
      </c>
    </row>
    <row r="25" spans="1:5" ht="15.6" x14ac:dyDescent="0.3">
      <c r="A25" s="24" t="s">
        <v>28</v>
      </c>
      <c r="B25" s="13" t="s">
        <v>61</v>
      </c>
      <c r="C25" s="7">
        <f>D25*C7</f>
        <v>712.11599999999999</v>
      </c>
      <c r="D25" s="2">
        <v>0.18</v>
      </c>
      <c r="E25" s="7">
        <f>C25*12</f>
        <v>8545.3919999999998</v>
      </c>
    </row>
    <row r="26" spans="1:5" ht="15.6" x14ac:dyDescent="0.3">
      <c r="A26" s="57" t="s">
        <v>29</v>
      </c>
      <c r="B26" s="55" t="s">
        <v>30</v>
      </c>
      <c r="C26" s="54">
        <f>D26*C7</f>
        <v>197.81</v>
      </c>
      <c r="D26" s="55">
        <v>0.05</v>
      </c>
      <c r="E26" s="54">
        <f>C26*12</f>
        <v>2373.7200000000003</v>
      </c>
    </row>
    <row r="27" spans="1:5" ht="15.6" x14ac:dyDescent="0.3">
      <c r="A27" s="57" t="s">
        <v>31</v>
      </c>
      <c r="B27" s="55" t="s">
        <v>57</v>
      </c>
      <c r="C27" s="54">
        <f>E27/12</f>
        <v>14.593333333333334</v>
      </c>
      <c r="D27" s="56">
        <f>C27/C7</f>
        <v>3.6887248706671386E-3</v>
      </c>
      <c r="E27" s="55">
        <f>87.56*2</f>
        <v>175.12</v>
      </c>
    </row>
    <row r="28" spans="1:5" ht="17.399999999999999" x14ac:dyDescent="0.3">
      <c r="A28" s="65" t="s">
        <v>32</v>
      </c>
      <c r="B28" s="17" t="s">
        <v>33</v>
      </c>
      <c r="C28" s="22">
        <f>SUM(C29:C33)</f>
        <v>12398.748</v>
      </c>
      <c r="D28" s="22">
        <f>SUM(D29:D33)</f>
        <v>3.1340043476062882</v>
      </c>
      <c r="E28" s="22">
        <f>SUM(E29:E33)</f>
        <v>148784.976</v>
      </c>
    </row>
    <row r="29" spans="1:5" ht="15.6" x14ac:dyDescent="0.3">
      <c r="A29" s="57" t="s">
        <v>34</v>
      </c>
      <c r="B29" s="13" t="s">
        <v>62</v>
      </c>
      <c r="C29" s="7">
        <f>D29*C7</f>
        <v>6923.3499999999995</v>
      </c>
      <c r="D29" s="2">
        <v>1.75</v>
      </c>
      <c r="E29" s="7">
        <f>C29*12</f>
        <v>83080.2</v>
      </c>
    </row>
    <row r="30" spans="1:5" ht="15.6" x14ac:dyDescent="0.3">
      <c r="A30" s="57" t="s">
        <v>35</v>
      </c>
      <c r="B30" s="55" t="s">
        <v>36</v>
      </c>
      <c r="C30" s="55">
        <v>2350</v>
      </c>
      <c r="D30" s="54">
        <f>C30/C7</f>
        <v>0.59400434760628884</v>
      </c>
      <c r="E30" s="2">
        <f>C30*12</f>
        <v>28200</v>
      </c>
    </row>
    <row r="31" spans="1:5" ht="15.6" x14ac:dyDescent="0.3">
      <c r="A31" s="57" t="s">
        <v>37</v>
      </c>
      <c r="B31" s="2" t="s">
        <v>30</v>
      </c>
      <c r="C31" s="7">
        <f>D31*C7</f>
        <v>356.05799999999999</v>
      </c>
      <c r="D31" s="2">
        <v>0.09</v>
      </c>
      <c r="E31" s="7">
        <f>C31*12</f>
        <v>4272.6959999999999</v>
      </c>
    </row>
    <row r="32" spans="1:5" ht="15.6" x14ac:dyDescent="0.3">
      <c r="A32" s="57" t="s">
        <v>38</v>
      </c>
      <c r="B32" s="2" t="s">
        <v>40</v>
      </c>
      <c r="C32" s="7">
        <f>D32*C7</f>
        <v>118.68599999999999</v>
      </c>
      <c r="D32" s="2">
        <v>0.03</v>
      </c>
      <c r="E32" s="7">
        <f>C32*12</f>
        <v>1424.232</v>
      </c>
    </row>
    <row r="33" spans="1:9" ht="15.6" x14ac:dyDescent="0.3">
      <c r="A33" s="57" t="s">
        <v>39</v>
      </c>
      <c r="B33" s="2" t="s">
        <v>41</v>
      </c>
      <c r="C33" s="7">
        <f>D33*C7</f>
        <v>2650.654</v>
      </c>
      <c r="D33" s="2">
        <v>0.67</v>
      </c>
      <c r="E33" s="7">
        <f>C33*12</f>
        <v>31807.847999999998</v>
      </c>
    </row>
    <row r="34" spans="1:9" ht="31.2" x14ac:dyDescent="0.3">
      <c r="A34" s="65" t="s">
        <v>42</v>
      </c>
      <c r="B34" s="18" t="s">
        <v>43</v>
      </c>
      <c r="C34" s="22">
        <f>SUM(C35:C40)</f>
        <v>11250.007333333333</v>
      </c>
      <c r="D34" s="22">
        <f>SUM(D35:D40)</f>
        <v>2.8436396879160131</v>
      </c>
      <c r="E34" s="22">
        <f>SUM(E35:E40)</f>
        <v>135000.08799999996</v>
      </c>
    </row>
    <row r="35" spans="1:9" ht="27" x14ac:dyDescent="0.3">
      <c r="A35" s="57" t="s">
        <v>44</v>
      </c>
      <c r="B35" s="12" t="s">
        <v>73</v>
      </c>
      <c r="C35" s="7">
        <f>D35*C7</f>
        <v>10009.185999999998</v>
      </c>
      <c r="D35" s="2">
        <v>2.5299999999999998</v>
      </c>
      <c r="E35" s="7">
        <f>C35*12</f>
        <v>120110.23199999997</v>
      </c>
    </row>
    <row r="36" spans="1:9" ht="15.6" x14ac:dyDescent="0.3">
      <c r="A36" s="57" t="s">
        <v>46</v>
      </c>
      <c r="B36" s="58" t="s">
        <v>45</v>
      </c>
      <c r="C36" s="54">
        <f>D36*C7</f>
        <v>356.05799999999999</v>
      </c>
      <c r="D36" s="55">
        <v>0.09</v>
      </c>
      <c r="E36" s="54">
        <f t="shared" ref="E36:E40" si="1">C36*12</f>
        <v>4272.6959999999999</v>
      </c>
    </row>
    <row r="37" spans="1:9" ht="15.6" x14ac:dyDescent="0.3">
      <c r="A37" s="57" t="s">
        <v>47</v>
      </c>
      <c r="B37" s="55" t="s">
        <v>48</v>
      </c>
      <c r="C37" s="54">
        <f>D37*C7</f>
        <v>79.123999999999995</v>
      </c>
      <c r="D37" s="55">
        <v>0.02</v>
      </c>
      <c r="E37" s="54">
        <f t="shared" si="1"/>
        <v>949.48799999999994</v>
      </c>
    </row>
    <row r="38" spans="1:9" ht="15.6" x14ac:dyDescent="0.3">
      <c r="A38" s="57" t="s">
        <v>49</v>
      </c>
      <c r="B38" s="55" t="s">
        <v>50</v>
      </c>
      <c r="C38" s="54">
        <f>D38*C7</f>
        <v>118.68599999999999</v>
      </c>
      <c r="D38" s="55">
        <v>0.03</v>
      </c>
      <c r="E38" s="54">
        <f t="shared" si="1"/>
        <v>1424.232</v>
      </c>
    </row>
    <row r="39" spans="1:9" ht="15.6" x14ac:dyDescent="0.3">
      <c r="A39" s="57" t="s">
        <v>51</v>
      </c>
      <c r="B39" s="55" t="s">
        <v>52</v>
      </c>
      <c r="C39" s="59">
        <f>E39/12</f>
        <v>291.33333333333331</v>
      </c>
      <c r="D39" s="59">
        <f>C39/C7</f>
        <v>7.3639687916013677E-2</v>
      </c>
      <c r="E39" s="59">
        <f>C8*4*2</f>
        <v>3496</v>
      </c>
    </row>
    <row r="40" spans="1:9" ht="15.6" x14ac:dyDescent="0.3">
      <c r="A40" s="24" t="s">
        <v>53</v>
      </c>
      <c r="B40" s="55" t="s">
        <v>30</v>
      </c>
      <c r="C40" s="54">
        <f>D40*C7</f>
        <v>395.62</v>
      </c>
      <c r="D40" s="55">
        <v>0.1</v>
      </c>
      <c r="E40" s="54">
        <f t="shared" si="1"/>
        <v>4747.4400000000005</v>
      </c>
    </row>
    <row r="41" spans="1:9" ht="17.399999999999999" x14ac:dyDescent="0.3">
      <c r="A41" s="26" t="s">
        <v>68</v>
      </c>
      <c r="B41" s="16" t="s">
        <v>59</v>
      </c>
      <c r="C41" s="16">
        <f>D41*C7</f>
        <v>12236.860533333336</v>
      </c>
      <c r="D41" s="22">
        <f>C9-D16-D23</f>
        <v>3.0930844075965158</v>
      </c>
      <c r="E41" s="22">
        <f>C41*12</f>
        <v>146842.32640000002</v>
      </c>
    </row>
    <row r="42" spans="1:9" ht="15.6" x14ac:dyDescent="0.3">
      <c r="A42" s="24" t="s">
        <v>77</v>
      </c>
      <c r="B42" s="2" t="s">
        <v>78</v>
      </c>
      <c r="C42" s="7">
        <f>E42/12</f>
        <v>877.8991666666667</v>
      </c>
      <c r="D42" s="7">
        <f>C42/C7</f>
        <v>0.22190464755742043</v>
      </c>
      <c r="E42" s="55">
        <v>10534.79</v>
      </c>
      <c r="I42" t="s">
        <v>91</v>
      </c>
    </row>
    <row r="43" spans="1:9" ht="15.6" x14ac:dyDescent="0.3">
      <c r="A43" s="24" t="s">
        <v>79</v>
      </c>
      <c r="B43" s="2" t="s">
        <v>146</v>
      </c>
      <c r="C43" s="7">
        <f>E43/12</f>
        <v>2525.6283333333336</v>
      </c>
      <c r="D43" s="7">
        <f>C43/C7</f>
        <v>0.63839753635643637</v>
      </c>
      <c r="E43" s="55">
        <v>30307.54</v>
      </c>
    </row>
    <row r="44" spans="1:9" ht="31.2" x14ac:dyDescent="0.3">
      <c r="A44" s="85" t="s">
        <v>80</v>
      </c>
      <c r="B44" s="86" t="s">
        <v>143</v>
      </c>
      <c r="C44" s="87">
        <f>E44/12</f>
        <v>5000</v>
      </c>
      <c r="D44" s="87">
        <f>C44/C7</f>
        <v>1.2638390374601891</v>
      </c>
      <c r="E44" s="88">
        <v>60000</v>
      </c>
    </row>
    <row r="45" spans="1:9" ht="15.6" x14ac:dyDescent="0.3">
      <c r="A45" s="24" t="s">
        <v>81</v>
      </c>
      <c r="B45" s="2" t="s">
        <v>147</v>
      </c>
      <c r="C45" s="7">
        <f t="shared" ref="C45:C55" si="2">E45/12</f>
        <v>2916.6666666666665</v>
      </c>
      <c r="D45" s="7">
        <f>C45/C7</f>
        <v>0.73723943851844365</v>
      </c>
      <c r="E45" s="55">
        <v>35000</v>
      </c>
    </row>
    <row r="46" spans="1:9" ht="15.6" x14ac:dyDescent="0.3">
      <c r="A46" s="24" t="s">
        <v>82</v>
      </c>
      <c r="B46" s="2" t="s">
        <v>155</v>
      </c>
      <c r="C46" s="7">
        <f>E46/12</f>
        <v>916.66666666666663</v>
      </c>
      <c r="D46" s="7">
        <f>C46/C7</f>
        <v>0.231703823534368</v>
      </c>
      <c r="E46" s="55">
        <v>11000</v>
      </c>
    </row>
    <row r="47" spans="1:9" ht="15.6" x14ac:dyDescent="0.3">
      <c r="A47" s="24"/>
      <c r="B47" s="2"/>
      <c r="C47" s="7">
        <f t="shared" si="2"/>
        <v>0</v>
      </c>
      <c r="D47" s="7">
        <f>C47/C7</f>
        <v>0</v>
      </c>
      <c r="E47" s="55"/>
    </row>
    <row r="48" spans="1:9" ht="15.6" x14ac:dyDescent="0.3">
      <c r="A48" s="24"/>
      <c r="B48" s="2"/>
      <c r="C48" s="7">
        <f t="shared" si="2"/>
        <v>0</v>
      </c>
      <c r="D48" s="7">
        <f>C48/C7</f>
        <v>0</v>
      </c>
      <c r="E48" s="55"/>
    </row>
    <row r="49" spans="1:5" ht="15.6" x14ac:dyDescent="0.3">
      <c r="A49" s="38"/>
      <c r="B49" s="2"/>
      <c r="C49" s="7">
        <f t="shared" si="2"/>
        <v>0</v>
      </c>
      <c r="D49" s="7">
        <f>C49/C7</f>
        <v>0</v>
      </c>
      <c r="E49" s="55"/>
    </row>
    <row r="50" spans="1:5" ht="15.6" x14ac:dyDescent="0.3">
      <c r="A50" s="24"/>
      <c r="B50" s="2"/>
      <c r="C50" s="7">
        <f t="shared" si="2"/>
        <v>0</v>
      </c>
      <c r="D50" s="7">
        <f>C50/C7</f>
        <v>0</v>
      </c>
      <c r="E50" s="55"/>
    </row>
    <row r="51" spans="1:5" ht="15.6" x14ac:dyDescent="0.3">
      <c r="A51" s="24"/>
      <c r="B51" s="2"/>
      <c r="C51" s="7">
        <f t="shared" si="2"/>
        <v>0</v>
      </c>
      <c r="D51" s="7">
        <f>C51/C7</f>
        <v>0</v>
      </c>
      <c r="E51" s="55"/>
    </row>
    <row r="52" spans="1:5" ht="15.6" x14ac:dyDescent="0.3">
      <c r="A52" s="24"/>
      <c r="B52" s="2"/>
      <c r="C52" s="7">
        <f t="shared" si="2"/>
        <v>0</v>
      </c>
      <c r="D52" s="7">
        <f>C52/C7</f>
        <v>0</v>
      </c>
      <c r="E52" s="55"/>
    </row>
    <row r="53" spans="1:5" ht="15.6" x14ac:dyDescent="0.3">
      <c r="A53" s="24"/>
      <c r="B53" s="2"/>
      <c r="C53" s="7">
        <f t="shared" si="2"/>
        <v>0</v>
      </c>
      <c r="D53" s="7">
        <f>C53/C7</f>
        <v>0</v>
      </c>
      <c r="E53" s="55"/>
    </row>
    <row r="54" spans="1:5" ht="15.6" x14ac:dyDescent="0.3">
      <c r="A54" s="24"/>
      <c r="B54" s="2"/>
      <c r="C54" s="7">
        <f t="shared" si="2"/>
        <v>0</v>
      </c>
      <c r="D54" s="7">
        <f>C54/C7</f>
        <v>0</v>
      </c>
      <c r="E54" s="55"/>
    </row>
    <row r="55" spans="1:5" ht="15.6" x14ac:dyDescent="0.3">
      <c r="A55" s="24"/>
      <c r="B55" s="2"/>
      <c r="C55" s="7">
        <f t="shared" si="2"/>
        <v>0</v>
      </c>
      <c r="D55" s="7">
        <f>C55/C7</f>
        <v>0</v>
      </c>
      <c r="E55" s="55"/>
    </row>
    <row r="56" spans="1:5" ht="15.6" x14ac:dyDescent="0.3">
      <c r="A56" s="24"/>
      <c r="B56" s="40" t="s">
        <v>70</v>
      </c>
      <c r="C56" s="41">
        <f>SUM(C42:C55)</f>
        <v>12236.860833333332</v>
      </c>
      <c r="D56" s="41">
        <f>SUM(D42:D55)</f>
        <v>3.0930844834268574</v>
      </c>
      <c r="E56" s="40">
        <f>SUM(E42:E55)</f>
        <v>146842.33000000002</v>
      </c>
    </row>
    <row r="57" spans="1:5" ht="15.6" x14ac:dyDescent="0.3">
      <c r="A57" s="31"/>
      <c r="B57" s="32" t="s">
        <v>60</v>
      </c>
      <c r="C57" s="30">
        <f>D57*C7</f>
        <v>47474.399999999994</v>
      </c>
      <c r="D57" s="30">
        <f>D41+D23+D16</f>
        <v>12</v>
      </c>
      <c r="E57" s="30">
        <f>C57*12</f>
        <v>569692.79999999993</v>
      </c>
    </row>
    <row r="58" spans="1:5" ht="15.6" x14ac:dyDescent="0.3">
      <c r="A58" s="31" t="s">
        <v>69</v>
      </c>
      <c r="B58" s="16" t="s">
        <v>65</v>
      </c>
      <c r="C58" s="16">
        <f>D58*C7</f>
        <v>1750</v>
      </c>
      <c r="D58" s="22">
        <f>C10/C7/12</f>
        <v>0.44234366311106621</v>
      </c>
      <c r="E58" s="16">
        <f>C58*12</f>
        <v>21000</v>
      </c>
    </row>
    <row r="59" spans="1:5" ht="15.6" x14ac:dyDescent="0.3">
      <c r="A59" s="24" t="s">
        <v>74</v>
      </c>
      <c r="B59" s="55" t="s">
        <v>72</v>
      </c>
      <c r="C59" s="76">
        <f>E59/12</f>
        <v>1750</v>
      </c>
      <c r="D59" s="54">
        <f>C59/C7</f>
        <v>0.44234366311106621</v>
      </c>
      <c r="E59" s="55">
        <v>21000</v>
      </c>
    </row>
    <row r="60" spans="1:5" ht="15.6" x14ac:dyDescent="0.3">
      <c r="A60" s="24" t="s">
        <v>75</v>
      </c>
      <c r="B60" s="55"/>
      <c r="C60" s="76"/>
      <c r="D60" s="54"/>
      <c r="E60" s="55"/>
    </row>
    <row r="61" spans="1:5" ht="15.6" x14ac:dyDescent="0.3">
      <c r="A61" s="24"/>
      <c r="B61" s="55"/>
      <c r="C61" s="76"/>
      <c r="D61" s="54"/>
      <c r="E61" s="55"/>
    </row>
    <row r="62" spans="1:5" ht="15.6" x14ac:dyDescent="0.3">
      <c r="A62" s="4"/>
      <c r="B62" s="2"/>
      <c r="C62" s="39"/>
      <c r="D62" s="7"/>
      <c r="E62" s="55"/>
    </row>
    <row r="63" spans="1:5" ht="15.6" x14ac:dyDescent="0.3">
      <c r="A63" s="4"/>
      <c r="B63" s="42" t="s">
        <v>70</v>
      </c>
      <c r="C63" s="42"/>
      <c r="D63" s="43">
        <f>SUM(D59:D62)</f>
        <v>0.44234366311106621</v>
      </c>
      <c r="E63" s="42"/>
    </row>
    <row r="64" spans="1:5" x14ac:dyDescent="0.3">
      <c r="A64" s="119" t="s">
        <v>166</v>
      </c>
      <c r="B64" s="120"/>
      <c r="C64" s="120"/>
      <c r="D64" s="120"/>
      <c r="E64" s="121"/>
    </row>
    <row r="65" spans="1:5" x14ac:dyDescent="0.3">
      <c r="A65" s="122"/>
      <c r="B65" s="123"/>
      <c r="C65" s="123"/>
      <c r="D65" s="123"/>
      <c r="E65" s="124"/>
    </row>
    <row r="66" spans="1:5" x14ac:dyDescent="0.3">
      <c r="A66" s="122"/>
      <c r="B66" s="123"/>
      <c r="C66" s="123"/>
      <c r="D66" s="123"/>
      <c r="E66" s="124"/>
    </row>
    <row r="67" spans="1:5" x14ac:dyDescent="0.3">
      <c r="A67" s="125"/>
      <c r="B67" s="126"/>
      <c r="C67" s="126"/>
      <c r="D67" s="126"/>
      <c r="E67" s="127"/>
    </row>
    <row r="68" spans="1:5" ht="42.75" customHeight="1" x14ac:dyDescent="0.3">
      <c r="A68" s="114" t="s">
        <v>167</v>
      </c>
      <c r="B68" s="115"/>
      <c r="C68" s="3"/>
      <c r="D68" s="3"/>
      <c r="E68" s="3"/>
    </row>
  </sheetData>
  <mergeCells count="18">
    <mergeCell ref="A10:B10"/>
    <mergeCell ref="C10:E10"/>
    <mergeCell ref="A64:E67"/>
    <mergeCell ref="A68:B68"/>
    <mergeCell ref="A7:B7"/>
    <mergeCell ref="C7:E7"/>
    <mergeCell ref="A13:B13"/>
    <mergeCell ref="C13:E13"/>
    <mergeCell ref="A14:E14"/>
    <mergeCell ref="A8:B8"/>
    <mergeCell ref="C8:E8"/>
    <mergeCell ref="A9:B9"/>
    <mergeCell ref="C9:E9"/>
    <mergeCell ref="A2:E4"/>
    <mergeCell ref="A5:B5"/>
    <mergeCell ref="C5:E5"/>
    <mergeCell ref="A6:B6"/>
    <mergeCell ref="C6:E6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67"/>
  <sheetViews>
    <sheetView topLeftCell="A56" workbookViewId="0">
      <selection activeCell="E70" sqref="E70"/>
    </sheetView>
  </sheetViews>
  <sheetFormatPr defaultRowHeight="13.8" x14ac:dyDescent="0.3"/>
  <cols>
    <col min="1" max="1" width="8.5546875" style="29" customWidth="1"/>
    <col min="2" max="2" width="51.88671875" customWidth="1"/>
    <col min="3" max="3" width="11.6640625" customWidth="1"/>
    <col min="4" max="4" width="11.88671875" customWidth="1"/>
    <col min="5" max="5" width="12.33203125" customWidth="1"/>
  </cols>
  <sheetData>
    <row r="2" spans="1:5" x14ac:dyDescent="0.3">
      <c r="A2" s="102" t="s">
        <v>92</v>
      </c>
      <c r="B2" s="102"/>
      <c r="C2" s="102"/>
      <c r="D2" s="102"/>
      <c r="E2" s="102"/>
    </row>
    <row r="3" spans="1:5" x14ac:dyDescent="0.3">
      <c r="A3" s="102"/>
      <c r="B3" s="102"/>
      <c r="C3" s="102"/>
      <c r="D3" s="102"/>
      <c r="E3" s="102"/>
    </row>
    <row r="4" spans="1:5" x14ac:dyDescent="0.3">
      <c r="A4" s="103"/>
      <c r="B4" s="103"/>
      <c r="C4" s="103"/>
      <c r="D4" s="103"/>
      <c r="E4" s="103"/>
    </row>
    <row r="5" spans="1:5" ht="15.6" x14ac:dyDescent="0.3">
      <c r="A5" s="97" t="s">
        <v>0</v>
      </c>
      <c r="B5" s="98"/>
      <c r="C5" s="97" t="s">
        <v>1</v>
      </c>
      <c r="D5" s="104"/>
      <c r="E5" s="98"/>
    </row>
    <row r="6" spans="1:5" ht="15.6" x14ac:dyDescent="0.3">
      <c r="A6" s="97" t="s">
        <v>2</v>
      </c>
      <c r="B6" s="98"/>
      <c r="C6" s="133">
        <v>3</v>
      </c>
      <c r="D6" s="134"/>
      <c r="E6" s="135"/>
    </row>
    <row r="7" spans="1:5" ht="15.6" x14ac:dyDescent="0.3">
      <c r="A7" s="97" t="s">
        <v>3</v>
      </c>
      <c r="B7" s="98"/>
      <c r="C7" s="133">
        <v>6077.4</v>
      </c>
      <c r="D7" s="134"/>
      <c r="E7" s="135"/>
    </row>
    <row r="8" spans="1:5" ht="15.6" x14ac:dyDescent="0.3">
      <c r="A8" s="97" t="s">
        <v>4</v>
      </c>
      <c r="B8" s="98"/>
      <c r="C8" s="133">
        <v>673</v>
      </c>
      <c r="D8" s="134"/>
      <c r="E8" s="135"/>
    </row>
    <row r="9" spans="1:5" ht="15.6" x14ac:dyDescent="0.3">
      <c r="A9" s="97" t="s">
        <v>5</v>
      </c>
      <c r="B9" s="98"/>
      <c r="C9" s="133">
        <v>9.48</v>
      </c>
      <c r="D9" s="134"/>
      <c r="E9" s="135"/>
    </row>
    <row r="10" spans="1:5" ht="15.6" x14ac:dyDescent="0.3">
      <c r="A10" s="97" t="s">
        <v>6</v>
      </c>
      <c r="B10" s="98"/>
      <c r="C10" s="133">
        <v>45000</v>
      </c>
      <c r="D10" s="134"/>
      <c r="E10" s="135"/>
    </row>
    <row r="11" spans="1:5" ht="15.6" x14ac:dyDescent="0.3">
      <c r="A11" s="50"/>
      <c r="B11" s="51" t="s">
        <v>56</v>
      </c>
      <c r="C11" s="68"/>
      <c r="D11" s="70">
        <f>C7*C9</f>
        <v>57613.752</v>
      </c>
      <c r="E11" s="69"/>
    </row>
    <row r="12" spans="1:5" ht="15.6" x14ac:dyDescent="0.3">
      <c r="A12" s="50"/>
      <c r="B12" s="51" t="s">
        <v>64</v>
      </c>
      <c r="C12" s="68"/>
      <c r="D12" s="70">
        <f>D11+(C10/12)</f>
        <v>61363.752</v>
      </c>
      <c r="E12" s="69"/>
    </row>
    <row r="13" spans="1:5" ht="15.6" x14ac:dyDescent="0.3">
      <c r="A13" s="97" t="s">
        <v>7</v>
      </c>
      <c r="B13" s="98"/>
      <c r="C13" s="128">
        <f>(C7*C9*12)+C10</f>
        <v>736365.02399999998</v>
      </c>
      <c r="D13" s="129"/>
      <c r="E13" s="130"/>
    </row>
    <row r="14" spans="1:5" ht="15.6" x14ac:dyDescent="0.3">
      <c r="A14" s="97" t="s">
        <v>8</v>
      </c>
      <c r="B14" s="104"/>
      <c r="C14" s="104"/>
      <c r="D14" s="104"/>
      <c r="E14" s="98"/>
    </row>
    <row r="15" spans="1:5" ht="46.8" x14ac:dyDescent="0.3">
      <c r="A15" s="4"/>
      <c r="B15" s="10" t="s">
        <v>12</v>
      </c>
      <c r="C15" s="10" t="s">
        <v>13</v>
      </c>
      <c r="D15" s="11" t="s">
        <v>14</v>
      </c>
      <c r="E15" s="10" t="s">
        <v>15</v>
      </c>
    </row>
    <row r="16" spans="1:5" ht="18" x14ac:dyDescent="0.35">
      <c r="A16" s="23">
        <v>1</v>
      </c>
      <c r="B16" s="14" t="s">
        <v>9</v>
      </c>
      <c r="C16" s="21">
        <f>C17+C18</f>
        <v>13050.130010666668</v>
      </c>
      <c r="D16" s="21">
        <f>D17+D18</f>
        <v>2.2482916264630712</v>
      </c>
      <c r="E16" s="21">
        <f>E17+E18</f>
        <v>156601.56012800001</v>
      </c>
    </row>
    <row r="17" spans="1:5" ht="15.6" x14ac:dyDescent="0.3">
      <c r="A17" s="24" t="s">
        <v>10</v>
      </c>
      <c r="B17" s="8" t="s">
        <v>11</v>
      </c>
      <c r="C17" s="54">
        <f>(D11*13.8%)+(C10*13.8%/12)</f>
        <v>8468.1977760000009</v>
      </c>
      <c r="D17" s="54">
        <f>C17/C7</f>
        <v>1.3933915450686152</v>
      </c>
      <c r="E17" s="54">
        <f>C17*12</f>
        <v>101618.37331200001</v>
      </c>
    </row>
    <row r="18" spans="1:5" ht="15.6" x14ac:dyDescent="0.3">
      <c r="A18" s="4" t="s">
        <v>16</v>
      </c>
      <c r="B18" s="8" t="s">
        <v>17</v>
      </c>
      <c r="C18" s="62">
        <f>SUM(C19:C21)</f>
        <v>4581.9322346666668</v>
      </c>
      <c r="D18" s="62">
        <f>SUM(D19:D22)</f>
        <v>0.85490008139445606</v>
      </c>
      <c r="E18" s="62">
        <f t="shared" ref="E18" si="0">SUM(E19:E21)</f>
        <v>54983.186816000001</v>
      </c>
    </row>
    <row r="19" spans="1:5" ht="15.6" x14ac:dyDescent="0.3">
      <c r="A19" s="24" t="s">
        <v>18</v>
      </c>
      <c r="B19" s="8" t="s">
        <v>19</v>
      </c>
      <c r="C19" s="54">
        <f>E19/12</f>
        <v>982.16666666666663</v>
      </c>
      <c r="D19" s="54">
        <f>C19/C7</f>
        <v>0.16160967957788966</v>
      </c>
      <c r="E19" s="54">
        <v>11786</v>
      </c>
    </row>
    <row r="20" spans="1:5" ht="42" x14ac:dyDescent="0.3">
      <c r="A20" s="24" t="s">
        <v>20</v>
      </c>
      <c r="B20" s="13" t="s">
        <v>21</v>
      </c>
      <c r="C20" s="7">
        <f>D20*C7</f>
        <v>1640.8979999999999</v>
      </c>
      <c r="D20" s="2">
        <v>0.27</v>
      </c>
      <c r="E20" s="7">
        <f>C20*12</f>
        <v>19690.775999999998</v>
      </c>
    </row>
    <row r="21" spans="1:5" ht="15.6" x14ac:dyDescent="0.3">
      <c r="A21" s="24" t="s">
        <v>22</v>
      </c>
      <c r="B21" s="8" t="s">
        <v>23</v>
      </c>
      <c r="C21" s="7">
        <f>D11*3.4%</f>
        <v>1958.8675680000001</v>
      </c>
      <c r="D21" s="7">
        <f>C21/C7</f>
        <v>0.32232000000000005</v>
      </c>
      <c r="E21" s="7">
        <f>C21*12</f>
        <v>23506.410816000003</v>
      </c>
    </row>
    <row r="22" spans="1:5" ht="15.6" x14ac:dyDescent="0.3">
      <c r="A22" s="24" t="s">
        <v>66</v>
      </c>
      <c r="B22" s="8" t="s">
        <v>67</v>
      </c>
      <c r="C22" s="7">
        <f>E22/12</f>
        <v>613.63751999999999</v>
      </c>
      <c r="D22" s="7">
        <f>C22/C7</f>
        <v>0.1009704018165663</v>
      </c>
      <c r="E22" s="7">
        <f>C13*1%</f>
        <v>7363.6502399999999</v>
      </c>
    </row>
    <row r="23" spans="1:5" ht="18" x14ac:dyDescent="0.35">
      <c r="A23" s="25" t="s">
        <v>24</v>
      </c>
      <c r="B23" s="14" t="s">
        <v>25</v>
      </c>
      <c r="C23" s="21">
        <f>C24+C28+C34</f>
        <v>36489.352666666666</v>
      </c>
      <c r="D23" s="21">
        <f>D24+D28+D34</f>
        <v>6.5969470497252107</v>
      </c>
      <c r="E23" s="21">
        <f>E24+E28+E34</f>
        <v>437872.23199999996</v>
      </c>
    </row>
    <row r="24" spans="1:5" ht="17.399999999999999" x14ac:dyDescent="0.3">
      <c r="A24" s="26" t="s">
        <v>26</v>
      </c>
      <c r="B24" s="15" t="s">
        <v>27</v>
      </c>
      <c r="C24" s="22">
        <f>SUM(C25:C27)</f>
        <v>1419.6919999999998</v>
      </c>
      <c r="D24" s="22">
        <f>SUM(D25:D27)</f>
        <v>0.23360186922039028</v>
      </c>
      <c r="E24" s="22">
        <f>SUM(E25:E27)</f>
        <v>17036.303999999996</v>
      </c>
    </row>
    <row r="25" spans="1:5" ht="15.6" x14ac:dyDescent="0.3">
      <c r="A25" s="57" t="s">
        <v>28</v>
      </c>
      <c r="B25" s="13" t="s">
        <v>61</v>
      </c>
      <c r="C25" s="7">
        <f>D25*C7</f>
        <v>1093.9319999999998</v>
      </c>
      <c r="D25" s="2">
        <v>0.18</v>
      </c>
      <c r="E25" s="7">
        <f>C25*12</f>
        <v>13127.183999999997</v>
      </c>
    </row>
    <row r="26" spans="1:5" ht="15.6" x14ac:dyDescent="0.3">
      <c r="A26" s="57" t="s">
        <v>29</v>
      </c>
      <c r="B26" s="2" t="s">
        <v>30</v>
      </c>
      <c r="C26" s="7">
        <f>D26*C7</f>
        <v>303.87</v>
      </c>
      <c r="D26" s="2">
        <v>0.05</v>
      </c>
      <c r="E26" s="7">
        <f>C26*12</f>
        <v>3646.44</v>
      </c>
    </row>
    <row r="27" spans="1:5" ht="15.6" x14ac:dyDescent="0.3">
      <c r="A27" s="57" t="s">
        <v>31</v>
      </c>
      <c r="B27" s="55" t="s">
        <v>57</v>
      </c>
      <c r="C27" s="55">
        <f>E27/12</f>
        <v>21.89</v>
      </c>
      <c r="D27" s="56">
        <f>C27/C7</f>
        <v>3.6018692203902986E-3</v>
      </c>
      <c r="E27" s="55">
        <f>87.56*3</f>
        <v>262.68</v>
      </c>
    </row>
    <row r="28" spans="1:5" ht="17.399999999999999" x14ac:dyDescent="0.3">
      <c r="A28" s="65" t="s">
        <v>32</v>
      </c>
      <c r="B28" s="17" t="s">
        <v>33</v>
      </c>
      <c r="C28" s="22">
        <f>SUM(C29:C33)</f>
        <v>17786.595999999998</v>
      </c>
      <c r="D28" s="22">
        <f>SUM(D29:D33)</f>
        <v>2.9266785138381541</v>
      </c>
      <c r="E28" s="22">
        <f>SUM(E29:E33)</f>
        <v>213439.152</v>
      </c>
    </row>
    <row r="29" spans="1:5" ht="15.6" x14ac:dyDescent="0.3">
      <c r="A29" s="57" t="s">
        <v>34</v>
      </c>
      <c r="B29" s="13" t="s">
        <v>62</v>
      </c>
      <c r="C29" s="7">
        <f>D29*C7</f>
        <v>10635.449999999999</v>
      </c>
      <c r="D29" s="2">
        <v>1.75</v>
      </c>
      <c r="E29" s="7">
        <f>C29*12</f>
        <v>127625.4</v>
      </c>
    </row>
    <row r="30" spans="1:5" ht="15.6" x14ac:dyDescent="0.3">
      <c r="A30" s="57" t="s">
        <v>35</v>
      </c>
      <c r="B30" s="55" t="s">
        <v>36</v>
      </c>
      <c r="C30" s="55">
        <v>2350</v>
      </c>
      <c r="D30" s="54">
        <f>C30/C7</f>
        <v>0.38667851383815449</v>
      </c>
      <c r="E30" s="2">
        <f>C30*12</f>
        <v>28200</v>
      </c>
    </row>
    <row r="31" spans="1:5" ht="15.6" x14ac:dyDescent="0.3">
      <c r="A31" s="57" t="s">
        <v>37</v>
      </c>
      <c r="B31" s="2" t="s">
        <v>30</v>
      </c>
      <c r="C31" s="7">
        <f>D31*C7</f>
        <v>546.96599999999989</v>
      </c>
      <c r="D31" s="2">
        <v>0.09</v>
      </c>
      <c r="E31" s="7">
        <f>C31*12</f>
        <v>6563.5919999999987</v>
      </c>
    </row>
    <row r="32" spans="1:5" ht="15.6" x14ac:dyDescent="0.3">
      <c r="A32" s="57" t="s">
        <v>38</v>
      </c>
      <c r="B32" s="2" t="s">
        <v>40</v>
      </c>
      <c r="C32" s="7">
        <f>D32*C7</f>
        <v>182.32199999999997</v>
      </c>
      <c r="D32" s="2">
        <v>0.03</v>
      </c>
      <c r="E32" s="7">
        <f>C32*12</f>
        <v>2187.8639999999996</v>
      </c>
    </row>
    <row r="33" spans="1:5" ht="15.6" x14ac:dyDescent="0.3">
      <c r="A33" s="57" t="s">
        <v>39</v>
      </c>
      <c r="B33" s="2" t="s">
        <v>41</v>
      </c>
      <c r="C33" s="7">
        <f>D33*C7</f>
        <v>4071.8580000000002</v>
      </c>
      <c r="D33" s="2">
        <v>0.67</v>
      </c>
      <c r="E33" s="7">
        <f>C33*12</f>
        <v>48862.296000000002</v>
      </c>
    </row>
    <row r="34" spans="1:5" ht="31.2" x14ac:dyDescent="0.3">
      <c r="A34" s="65" t="s">
        <v>42</v>
      </c>
      <c r="B34" s="18" t="s">
        <v>43</v>
      </c>
      <c r="C34" s="22">
        <f>SUM(C35:C40)</f>
        <v>17283.064666666669</v>
      </c>
      <c r="D34" s="22">
        <f>SUM(D35:D40)</f>
        <v>3.4366666666666661</v>
      </c>
      <c r="E34" s="22">
        <f>SUM(E35:E40)</f>
        <v>207396.77599999998</v>
      </c>
    </row>
    <row r="35" spans="1:5" ht="27" x14ac:dyDescent="0.3">
      <c r="A35" s="57" t="s">
        <v>44</v>
      </c>
      <c r="B35" s="12" t="s">
        <v>73</v>
      </c>
      <c r="C35" s="7">
        <f>D35*C7</f>
        <v>15375.821999999998</v>
      </c>
      <c r="D35" s="2">
        <v>2.5299999999999998</v>
      </c>
      <c r="E35" s="7">
        <f>C35*12</f>
        <v>184509.86399999997</v>
      </c>
    </row>
    <row r="36" spans="1:5" ht="15.6" x14ac:dyDescent="0.3">
      <c r="A36" s="57" t="s">
        <v>46</v>
      </c>
      <c r="B36" s="58" t="s">
        <v>45</v>
      </c>
      <c r="C36" s="54">
        <f>D36*C7</f>
        <v>546.96599999999989</v>
      </c>
      <c r="D36" s="55">
        <v>0.09</v>
      </c>
      <c r="E36" s="54">
        <f t="shared" ref="E36:E40" si="1">C36*12</f>
        <v>6563.5919999999987</v>
      </c>
    </row>
    <row r="37" spans="1:5" ht="15.6" x14ac:dyDescent="0.3">
      <c r="A37" s="57" t="s">
        <v>47</v>
      </c>
      <c r="B37" s="55" t="s">
        <v>48</v>
      </c>
      <c r="C37" s="54">
        <f>D37*C7</f>
        <v>121.548</v>
      </c>
      <c r="D37" s="55">
        <v>0.02</v>
      </c>
      <c r="E37" s="54">
        <f t="shared" si="1"/>
        <v>1458.576</v>
      </c>
    </row>
    <row r="38" spans="1:5" ht="15.6" x14ac:dyDescent="0.3">
      <c r="A38" s="57" t="s">
        <v>49</v>
      </c>
      <c r="B38" s="55" t="s">
        <v>50</v>
      </c>
      <c r="C38" s="54">
        <f>D38*C7</f>
        <v>182.32199999999997</v>
      </c>
      <c r="D38" s="55">
        <v>0.03</v>
      </c>
      <c r="E38" s="54">
        <f t="shared" si="1"/>
        <v>2187.8639999999996</v>
      </c>
    </row>
    <row r="39" spans="1:5" ht="15.6" x14ac:dyDescent="0.3">
      <c r="A39" s="57" t="s">
        <v>51</v>
      </c>
      <c r="B39" s="55" t="s">
        <v>52</v>
      </c>
      <c r="C39" s="59">
        <f>E39/12</f>
        <v>448.66666666666669</v>
      </c>
      <c r="D39" s="59">
        <f>C39/C8</f>
        <v>0.66666666666666674</v>
      </c>
      <c r="E39" s="59">
        <f>C8*4*2</f>
        <v>5384</v>
      </c>
    </row>
    <row r="40" spans="1:5" ht="15.6" x14ac:dyDescent="0.3">
      <c r="A40" s="57" t="s">
        <v>55</v>
      </c>
      <c r="B40" s="55" t="s">
        <v>30</v>
      </c>
      <c r="C40" s="54">
        <f>D40*C7</f>
        <v>607.74</v>
      </c>
      <c r="D40" s="55">
        <v>0.1</v>
      </c>
      <c r="E40" s="54">
        <f t="shared" si="1"/>
        <v>7292.88</v>
      </c>
    </row>
    <row r="41" spans="1:5" ht="17.399999999999999" x14ac:dyDescent="0.3">
      <c r="A41" s="26" t="s">
        <v>68</v>
      </c>
      <c r="B41" s="16" t="s">
        <v>59</v>
      </c>
      <c r="C41" s="22">
        <f>D41*C7</f>
        <v>3857.6984693333347</v>
      </c>
      <c r="D41" s="22">
        <f>C9-D16-D23</f>
        <v>0.63476132381171801</v>
      </c>
      <c r="E41" s="22">
        <f>C41*12</f>
        <v>46292.381632000019</v>
      </c>
    </row>
    <row r="42" spans="1:5" ht="15.6" x14ac:dyDescent="0.3">
      <c r="A42" s="24" t="s">
        <v>77</v>
      </c>
      <c r="B42" s="55" t="s">
        <v>78</v>
      </c>
      <c r="C42" s="54">
        <f>E42/12</f>
        <v>3857.6983333333333</v>
      </c>
      <c r="D42" s="54">
        <f>C42/C7</f>
        <v>0.63476130143372722</v>
      </c>
      <c r="E42" s="55">
        <v>46292.38</v>
      </c>
    </row>
    <row r="43" spans="1:5" ht="15.6" x14ac:dyDescent="0.3">
      <c r="A43" s="24" t="s">
        <v>79</v>
      </c>
      <c r="B43" s="2"/>
      <c r="C43" s="7">
        <f>E43/12</f>
        <v>0</v>
      </c>
      <c r="D43" s="7">
        <f>C43/C7</f>
        <v>0</v>
      </c>
      <c r="E43" s="55"/>
    </row>
    <row r="44" spans="1:5" ht="15.6" x14ac:dyDescent="0.3">
      <c r="A44" s="24" t="s">
        <v>80</v>
      </c>
      <c r="B44" s="2"/>
      <c r="C44" s="7">
        <f>E44/12</f>
        <v>0</v>
      </c>
      <c r="D44" s="7">
        <f>C44/C7</f>
        <v>0</v>
      </c>
      <c r="E44" s="55"/>
    </row>
    <row r="45" spans="1:5" ht="15.6" x14ac:dyDescent="0.3">
      <c r="A45" s="24" t="s">
        <v>81</v>
      </c>
      <c r="B45" s="2"/>
      <c r="C45" s="7">
        <f>E45/12</f>
        <v>0</v>
      </c>
      <c r="D45" s="7">
        <f>C45/C7</f>
        <v>0</v>
      </c>
      <c r="E45" s="55"/>
    </row>
    <row r="46" spans="1:5" ht="15.6" x14ac:dyDescent="0.3">
      <c r="A46" s="24" t="s">
        <v>82</v>
      </c>
      <c r="B46" s="2"/>
      <c r="C46" s="7">
        <f>E46/12</f>
        <v>0</v>
      </c>
      <c r="D46" s="7">
        <f>C46/C7</f>
        <v>0</v>
      </c>
      <c r="E46" s="55"/>
    </row>
    <row r="47" spans="1:5" ht="15.6" x14ac:dyDescent="0.3">
      <c r="A47" s="24" t="s">
        <v>83</v>
      </c>
      <c r="B47" s="2"/>
      <c r="C47" s="7">
        <f t="shared" ref="C47:C50" si="2">E47/12</f>
        <v>0</v>
      </c>
      <c r="D47" s="7">
        <f>C47/C7</f>
        <v>0</v>
      </c>
      <c r="E47" s="55"/>
    </row>
    <row r="48" spans="1:5" ht="15.6" x14ac:dyDescent="0.3">
      <c r="A48" s="24" t="s">
        <v>132</v>
      </c>
      <c r="B48" s="2"/>
      <c r="C48" s="7">
        <f t="shared" si="2"/>
        <v>0</v>
      </c>
      <c r="D48" s="7">
        <f>C48/C7</f>
        <v>0</v>
      </c>
      <c r="E48" s="55"/>
    </row>
    <row r="49" spans="1:6" ht="15.6" x14ac:dyDescent="0.3">
      <c r="A49" s="38" t="s">
        <v>133</v>
      </c>
      <c r="B49" s="2"/>
      <c r="C49" s="7">
        <f t="shared" si="2"/>
        <v>0</v>
      </c>
      <c r="D49" s="7">
        <f>C49/C7</f>
        <v>0</v>
      </c>
      <c r="E49" s="55"/>
    </row>
    <row r="50" spans="1:6" ht="15.6" x14ac:dyDescent="0.3">
      <c r="A50" s="24" t="s">
        <v>134</v>
      </c>
      <c r="B50" s="2"/>
      <c r="C50" s="7">
        <f t="shared" si="2"/>
        <v>0</v>
      </c>
      <c r="D50" s="7">
        <f>C50/C7</f>
        <v>0</v>
      </c>
      <c r="E50" s="55"/>
    </row>
    <row r="51" spans="1:6" ht="15.6" x14ac:dyDescent="0.3">
      <c r="A51" s="24"/>
      <c r="B51" s="2"/>
      <c r="C51" s="7"/>
      <c r="D51" s="7"/>
      <c r="E51" s="55"/>
    </row>
    <row r="52" spans="1:6" ht="15.6" x14ac:dyDescent="0.3">
      <c r="A52" s="24"/>
      <c r="B52" s="2"/>
      <c r="C52" s="7"/>
      <c r="D52" s="7"/>
      <c r="E52" s="55"/>
    </row>
    <row r="53" spans="1:6" ht="15.6" x14ac:dyDescent="0.3">
      <c r="A53" s="24"/>
      <c r="B53" s="2"/>
      <c r="C53" s="7"/>
      <c r="D53" s="7"/>
      <c r="E53" s="55"/>
    </row>
    <row r="54" spans="1:6" ht="15.6" x14ac:dyDescent="0.3">
      <c r="A54" s="24"/>
      <c r="B54" s="2"/>
      <c r="C54" s="7"/>
      <c r="D54" s="7"/>
      <c r="E54" s="55"/>
    </row>
    <row r="55" spans="1:6" ht="15.6" x14ac:dyDescent="0.3">
      <c r="A55" s="24"/>
      <c r="B55" s="2"/>
      <c r="C55" s="7"/>
      <c r="D55" s="7"/>
      <c r="E55" s="55"/>
    </row>
    <row r="56" spans="1:6" ht="15.6" x14ac:dyDescent="0.3">
      <c r="A56" s="24"/>
      <c r="B56" s="40" t="s">
        <v>70</v>
      </c>
      <c r="C56" s="41">
        <f>SUM(C42:C55)</f>
        <v>3857.6983333333333</v>
      </c>
      <c r="D56" s="41">
        <f>SUM(D42:D55)</f>
        <v>0.63476130143372722</v>
      </c>
      <c r="E56" s="40">
        <f>SUM(E42:E55)</f>
        <v>46292.38</v>
      </c>
    </row>
    <row r="57" spans="1:6" ht="15.6" x14ac:dyDescent="0.3">
      <c r="A57" s="31"/>
      <c r="B57" s="32" t="s">
        <v>60</v>
      </c>
      <c r="C57" s="30">
        <f>D57*C7</f>
        <v>57613.752</v>
      </c>
      <c r="D57" s="30">
        <f>D41+D23+D16</f>
        <v>9.48</v>
      </c>
      <c r="E57" s="30">
        <f>C57*12</f>
        <v>691365.02399999998</v>
      </c>
    </row>
    <row r="58" spans="1:6" ht="15.6" x14ac:dyDescent="0.3">
      <c r="A58" s="31" t="s">
        <v>69</v>
      </c>
      <c r="B58" s="16" t="s">
        <v>65</v>
      </c>
      <c r="C58" s="16">
        <f>D58*C7</f>
        <v>3750</v>
      </c>
      <c r="D58" s="22">
        <f>C10/C7/12</f>
        <v>0.61704018165662955</v>
      </c>
      <c r="E58" s="16">
        <f>C58*12</f>
        <v>45000</v>
      </c>
    </row>
    <row r="59" spans="1:6" ht="15.6" x14ac:dyDescent="0.3">
      <c r="A59" s="24" t="s">
        <v>74</v>
      </c>
      <c r="B59" s="55" t="s">
        <v>72</v>
      </c>
      <c r="C59" s="76">
        <f>E59/12</f>
        <v>3750</v>
      </c>
      <c r="D59" s="54">
        <f>C59/C7</f>
        <v>0.61704018165662955</v>
      </c>
      <c r="E59" s="55">
        <v>45000</v>
      </c>
      <c r="F59" s="67"/>
    </row>
    <row r="60" spans="1:6" ht="15.6" x14ac:dyDescent="0.3">
      <c r="A60" s="24" t="s">
        <v>75</v>
      </c>
      <c r="B60" s="55"/>
      <c r="C60" s="76"/>
      <c r="D60" s="54"/>
      <c r="E60" s="55"/>
      <c r="F60" s="67"/>
    </row>
    <row r="61" spans="1:6" ht="15.6" x14ac:dyDescent="0.3">
      <c r="A61" s="24"/>
      <c r="B61" s="2"/>
      <c r="C61" s="39"/>
      <c r="D61" s="7"/>
      <c r="E61" s="55"/>
    </row>
    <row r="62" spans="1:6" ht="15.6" x14ac:dyDescent="0.3">
      <c r="A62" s="4"/>
      <c r="B62" s="42" t="s">
        <v>70</v>
      </c>
      <c r="C62" s="42"/>
      <c r="D62" s="43">
        <f>SUM(D59:D61)</f>
        <v>0.61704018165662955</v>
      </c>
      <c r="E62" s="42"/>
    </row>
    <row r="63" spans="1:6" x14ac:dyDescent="0.3">
      <c r="A63" s="119" t="s">
        <v>166</v>
      </c>
      <c r="B63" s="120"/>
      <c r="C63" s="120"/>
      <c r="D63" s="120"/>
      <c r="E63" s="121"/>
    </row>
    <row r="64" spans="1:6" x14ac:dyDescent="0.3">
      <c r="A64" s="122"/>
      <c r="B64" s="123"/>
      <c r="C64" s="123"/>
      <c r="D64" s="123"/>
      <c r="E64" s="124"/>
    </row>
    <row r="65" spans="1:5" x14ac:dyDescent="0.3">
      <c r="A65" s="122"/>
      <c r="B65" s="123"/>
      <c r="C65" s="123"/>
      <c r="D65" s="123"/>
      <c r="E65" s="124"/>
    </row>
    <row r="66" spans="1:5" x14ac:dyDescent="0.3">
      <c r="A66" s="125"/>
      <c r="B66" s="126"/>
      <c r="C66" s="126"/>
      <c r="D66" s="126"/>
      <c r="E66" s="127"/>
    </row>
    <row r="67" spans="1:5" ht="45" customHeight="1" x14ac:dyDescent="0.3">
      <c r="A67" s="114" t="s">
        <v>167</v>
      </c>
      <c r="B67" s="115"/>
      <c r="C67" s="3"/>
      <c r="D67" s="3"/>
      <c r="E67" s="3"/>
    </row>
  </sheetData>
  <mergeCells count="18">
    <mergeCell ref="A10:B10"/>
    <mergeCell ref="C10:E10"/>
    <mergeCell ref="A63:E66"/>
    <mergeCell ref="A67:B67"/>
    <mergeCell ref="A7:B7"/>
    <mergeCell ref="C7:E7"/>
    <mergeCell ref="A13:B13"/>
    <mergeCell ref="C13:E13"/>
    <mergeCell ref="A14:E14"/>
    <mergeCell ref="A8:B8"/>
    <mergeCell ref="C8:E8"/>
    <mergeCell ref="A9:B9"/>
    <mergeCell ref="C9:E9"/>
    <mergeCell ref="A2:E4"/>
    <mergeCell ref="A5:B5"/>
    <mergeCell ref="C5:E5"/>
    <mergeCell ref="A6:B6"/>
    <mergeCell ref="C6:E6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0"/>
  <sheetViews>
    <sheetView tabSelected="1" workbookViewId="0">
      <selection activeCell="F9" sqref="F9"/>
    </sheetView>
  </sheetViews>
  <sheetFormatPr defaultRowHeight="13.8" x14ac:dyDescent="0.3"/>
  <cols>
    <col min="1" max="1" width="8.5546875" style="29" customWidth="1"/>
    <col min="2" max="2" width="51.88671875" customWidth="1"/>
    <col min="3" max="3" width="11.6640625" customWidth="1"/>
    <col min="4" max="4" width="11.88671875" customWidth="1"/>
    <col min="5" max="5" width="12.33203125" customWidth="1"/>
  </cols>
  <sheetData>
    <row r="2" spans="1:5" x14ac:dyDescent="0.3">
      <c r="A2" s="102" t="s">
        <v>181</v>
      </c>
      <c r="B2" s="102"/>
      <c r="C2" s="102"/>
      <c r="D2" s="102"/>
      <c r="E2" s="102"/>
    </row>
    <row r="3" spans="1:5" x14ac:dyDescent="0.3">
      <c r="A3" s="102"/>
      <c r="B3" s="102"/>
      <c r="C3" s="102"/>
      <c r="D3" s="102"/>
      <c r="E3" s="102"/>
    </row>
    <row r="4" spans="1:5" x14ac:dyDescent="0.3">
      <c r="A4" s="103"/>
      <c r="B4" s="103"/>
      <c r="C4" s="103"/>
      <c r="D4" s="103"/>
      <c r="E4" s="103"/>
    </row>
    <row r="5" spans="1:5" ht="15.6" x14ac:dyDescent="0.3">
      <c r="A5" s="97" t="s">
        <v>0</v>
      </c>
      <c r="B5" s="98"/>
      <c r="C5" s="97" t="s">
        <v>1</v>
      </c>
      <c r="D5" s="104"/>
      <c r="E5" s="98"/>
    </row>
    <row r="6" spans="1:5" ht="15.6" x14ac:dyDescent="0.3">
      <c r="A6" s="97" t="s">
        <v>2</v>
      </c>
      <c r="B6" s="98"/>
      <c r="C6" s="133">
        <v>6</v>
      </c>
      <c r="D6" s="134"/>
      <c r="E6" s="135"/>
    </row>
    <row r="7" spans="1:5" ht="15.6" x14ac:dyDescent="0.3">
      <c r="A7" s="97" t="s">
        <v>3</v>
      </c>
      <c r="B7" s="98"/>
      <c r="C7" s="133">
        <v>11987.92</v>
      </c>
      <c r="D7" s="134"/>
      <c r="E7" s="135"/>
    </row>
    <row r="8" spans="1:5" ht="15.6" x14ac:dyDescent="0.3">
      <c r="A8" s="97" t="s">
        <v>4</v>
      </c>
      <c r="B8" s="98"/>
      <c r="C8" s="133">
        <v>1668</v>
      </c>
      <c r="D8" s="134"/>
      <c r="E8" s="135"/>
    </row>
    <row r="9" spans="1:5" ht="15.6" x14ac:dyDescent="0.3">
      <c r="A9" s="97" t="s">
        <v>5</v>
      </c>
      <c r="B9" s="98"/>
      <c r="C9" s="133">
        <v>9.48</v>
      </c>
      <c r="D9" s="134"/>
      <c r="E9" s="135"/>
    </row>
    <row r="10" spans="1:5" ht="15.6" x14ac:dyDescent="0.3">
      <c r="A10" s="97" t="s">
        <v>6</v>
      </c>
      <c r="B10" s="98"/>
      <c r="C10" s="133">
        <v>25000</v>
      </c>
      <c r="D10" s="134"/>
      <c r="E10" s="135"/>
    </row>
    <row r="11" spans="1:5" ht="15.6" x14ac:dyDescent="0.3">
      <c r="A11" s="47"/>
      <c r="B11" s="48" t="s">
        <v>56</v>
      </c>
      <c r="C11" s="47"/>
      <c r="D11" s="49">
        <f>C7*C9</f>
        <v>113645.4816</v>
      </c>
      <c r="E11" s="48"/>
    </row>
    <row r="12" spans="1:5" ht="15.6" x14ac:dyDescent="0.3">
      <c r="A12" s="47"/>
      <c r="B12" s="48" t="s">
        <v>64</v>
      </c>
      <c r="C12" s="47"/>
      <c r="D12" s="49">
        <f>D11+(C10/12)</f>
        <v>115728.81493333333</v>
      </c>
      <c r="E12" s="48"/>
    </row>
    <row r="13" spans="1:5" ht="15.6" x14ac:dyDescent="0.3">
      <c r="A13" s="97" t="s">
        <v>7</v>
      </c>
      <c r="B13" s="98"/>
      <c r="C13" s="138">
        <f>(C7*C9*12)+C10</f>
        <v>1388745.7792</v>
      </c>
      <c r="D13" s="139"/>
      <c r="E13" s="140"/>
    </row>
    <row r="14" spans="1:5" ht="15.6" x14ac:dyDescent="0.3">
      <c r="A14" s="97" t="s">
        <v>8</v>
      </c>
      <c r="B14" s="104"/>
      <c r="C14" s="104"/>
      <c r="D14" s="104"/>
      <c r="E14" s="98"/>
    </row>
    <row r="15" spans="1:5" ht="46.8" x14ac:dyDescent="0.3">
      <c r="A15" s="4"/>
      <c r="B15" s="10" t="s">
        <v>12</v>
      </c>
      <c r="C15" s="10" t="s">
        <v>13</v>
      </c>
      <c r="D15" s="11" t="s">
        <v>14</v>
      </c>
      <c r="E15" s="10" t="s">
        <v>15</v>
      </c>
    </row>
    <row r="16" spans="1:5" ht="18" x14ac:dyDescent="0.35">
      <c r="A16" s="23">
        <v>1</v>
      </c>
      <c r="B16" s="14" t="s">
        <v>9</v>
      </c>
      <c r="C16" s="21">
        <f>C17+C18</f>
        <v>28543.7612352</v>
      </c>
      <c r="D16" s="21">
        <f>D17+D18</f>
        <v>2.4775815474688967</v>
      </c>
      <c r="E16" s="21">
        <f>E17+E18</f>
        <v>342525.1348224</v>
      </c>
    </row>
    <row r="17" spans="1:5" ht="15.6" x14ac:dyDescent="0.3">
      <c r="A17" s="24" t="s">
        <v>10</v>
      </c>
      <c r="B17" s="8" t="s">
        <v>11</v>
      </c>
      <c r="C17" s="54">
        <f>(D11*13.8%)+(C10*13.8%/12)</f>
        <v>15970.576460800001</v>
      </c>
      <c r="D17" s="54">
        <f>C17/C7</f>
        <v>1.332222475692197</v>
      </c>
      <c r="E17" s="54">
        <f>C17*12</f>
        <v>191646.9175296</v>
      </c>
    </row>
    <row r="18" spans="1:5" ht="15.6" x14ac:dyDescent="0.3">
      <c r="A18" s="4" t="s">
        <v>16</v>
      </c>
      <c r="B18" s="8" t="s">
        <v>17</v>
      </c>
      <c r="C18" s="62">
        <f>SUM(C19:C21)</f>
        <v>12573.184774400001</v>
      </c>
      <c r="D18" s="62">
        <f>SUM(D19:D22)</f>
        <v>1.1453590717766999</v>
      </c>
      <c r="E18" s="62">
        <f t="shared" ref="E18" si="0">SUM(E19:E21)</f>
        <v>150878.21729279999</v>
      </c>
    </row>
    <row r="19" spans="1:5" ht="15.6" x14ac:dyDescent="0.3">
      <c r="A19" s="24" t="s">
        <v>18</v>
      </c>
      <c r="B19" s="8" t="s">
        <v>19</v>
      </c>
      <c r="C19" s="54">
        <f>E19/12</f>
        <v>5472.5</v>
      </c>
      <c r="D19" s="54">
        <f>C19/C7</f>
        <v>0.4565012112192941</v>
      </c>
      <c r="E19" s="54">
        <v>65670</v>
      </c>
    </row>
    <row r="20" spans="1:5" ht="42" x14ac:dyDescent="0.3">
      <c r="A20" s="24" t="s">
        <v>20</v>
      </c>
      <c r="B20" s="13" t="s">
        <v>21</v>
      </c>
      <c r="C20" s="54">
        <f>D20*C7</f>
        <v>3236.7384000000002</v>
      </c>
      <c r="D20" s="55">
        <v>0.27</v>
      </c>
      <c r="E20" s="54">
        <f>C20*12</f>
        <v>38840.860800000002</v>
      </c>
    </row>
    <row r="21" spans="1:5" ht="15.6" x14ac:dyDescent="0.3">
      <c r="A21" s="24" t="s">
        <v>22</v>
      </c>
      <c r="B21" s="8" t="s">
        <v>23</v>
      </c>
      <c r="C21" s="7">
        <f>D11*3.4%</f>
        <v>3863.9463744000004</v>
      </c>
      <c r="D21" s="7">
        <f>C21/C7</f>
        <v>0.32232000000000005</v>
      </c>
      <c r="E21" s="7">
        <f>C21*12</f>
        <v>46367.356492800005</v>
      </c>
    </row>
    <row r="22" spans="1:5" ht="15.6" x14ac:dyDescent="0.3">
      <c r="A22" s="24" t="s">
        <v>66</v>
      </c>
      <c r="B22" s="8" t="s">
        <v>67</v>
      </c>
      <c r="C22" s="7">
        <f>E22/12</f>
        <v>1157.2881493333334</v>
      </c>
      <c r="D22" s="7">
        <f>C22/C7</f>
        <v>9.6537860557405569E-2</v>
      </c>
      <c r="E22" s="7">
        <f>C13*1%</f>
        <v>13887.457792000001</v>
      </c>
    </row>
    <row r="23" spans="1:5" ht="18" x14ac:dyDescent="0.35">
      <c r="A23" s="77" t="s">
        <v>24</v>
      </c>
      <c r="B23" s="14" t="s">
        <v>25</v>
      </c>
      <c r="C23" s="21">
        <f>C24+C28+C34</f>
        <v>69918.856799999994</v>
      </c>
      <c r="D23" s="21">
        <f>D24+D28+D34</f>
        <v>6.4063493472317683</v>
      </c>
      <c r="E23" s="21">
        <f>E24+E28+E34</f>
        <v>839026.2816000001</v>
      </c>
    </row>
    <row r="24" spans="1:5" ht="17.399999999999999" x14ac:dyDescent="0.3">
      <c r="A24" s="65" t="s">
        <v>26</v>
      </c>
      <c r="B24" s="15" t="s">
        <v>27</v>
      </c>
      <c r="C24" s="22">
        <f>SUM(C25:C27)</f>
        <v>2801.0016000000005</v>
      </c>
      <c r="D24" s="22">
        <f>SUM(D25:D27)</f>
        <v>0.23365200968975433</v>
      </c>
      <c r="E24" s="22">
        <f>SUM(E25:E27)</f>
        <v>33612.019200000002</v>
      </c>
    </row>
    <row r="25" spans="1:5" ht="15.6" x14ac:dyDescent="0.3">
      <c r="A25" s="57" t="s">
        <v>28</v>
      </c>
      <c r="B25" s="13" t="s">
        <v>61</v>
      </c>
      <c r="C25" s="7">
        <f>D25*C7</f>
        <v>2157.8256000000001</v>
      </c>
      <c r="D25" s="2">
        <v>0.18</v>
      </c>
      <c r="E25" s="7">
        <f>C25*12</f>
        <v>25893.907200000001</v>
      </c>
    </row>
    <row r="26" spans="1:5" ht="15.6" x14ac:dyDescent="0.3">
      <c r="A26" s="57" t="s">
        <v>29</v>
      </c>
      <c r="B26" s="2" t="s">
        <v>30</v>
      </c>
      <c r="C26" s="7">
        <f>D26*C7</f>
        <v>599.39600000000007</v>
      </c>
      <c r="D26" s="2">
        <v>0.05</v>
      </c>
      <c r="E26" s="7">
        <f>C26*12</f>
        <v>7192.7520000000004</v>
      </c>
    </row>
    <row r="27" spans="1:5" ht="15.6" x14ac:dyDescent="0.3">
      <c r="A27" s="57" t="s">
        <v>31</v>
      </c>
      <c r="B27" s="55" t="s">
        <v>57</v>
      </c>
      <c r="C27" s="55">
        <f>E27/12</f>
        <v>43.78</v>
      </c>
      <c r="D27" s="56">
        <f>C27/C7</f>
        <v>3.6520096897543529E-3</v>
      </c>
      <c r="E27" s="55">
        <f>87.56*6</f>
        <v>525.36</v>
      </c>
    </row>
    <row r="28" spans="1:5" ht="17.399999999999999" x14ac:dyDescent="0.3">
      <c r="A28" s="65" t="s">
        <v>32</v>
      </c>
      <c r="B28" s="17" t="s">
        <v>33</v>
      </c>
      <c r="C28" s="22">
        <f>SUM(C29:C33)</f>
        <v>32799.316800000001</v>
      </c>
      <c r="D28" s="22">
        <f>SUM(D29:D33)</f>
        <v>2.7360306708753477</v>
      </c>
      <c r="E28" s="22">
        <f>SUM(E29:E33)</f>
        <v>393591.80160000006</v>
      </c>
    </row>
    <row r="29" spans="1:5" ht="15.6" x14ac:dyDescent="0.3">
      <c r="A29" s="57" t="s">
        <v>34</v>
      </c>
      <c r="B29" s="13" t="s">
        <v>62</v>
      </c>
      <c r="C29" s="7">
        <f>D29*C7</f>
        <v>20978.86</v>
      </c>
      <c r="D29" s="2">
        <v>1.75</v>
      </c>
      <c r="E29" s="7">
        <f>C29*12</f>
        <v>251746.32</v>
      </c>
    </row>
    <row r="30" spans="1:5" ht="15.6" x14ac:dyDescent="0.3">
      <c r="A30" s="57" t="s">
        <v>35</v>
      </c>
      <c r="B30" s="55" t="s">
        <v>36</v>
      </c>
      <c r="C30" s="55">
        <v>2350</v>
      </c>
      <c r="D30" s="54">
        <f>C30/C7</f>
        <v>0.19603067087534784</v>
      </c>
      <c r="E30" s="55">
        <f>C30*12</f>
        <v>28200</v>
      </c>
    </row>
    <row r="31" spans="1:5" ht="15.6" x14ac:dyDescent="0.3">
      <c r="A31" s="57" t="s">
        <v>37</v>
      </c>
      <c r="B31" s="2" t="s">
        <v>30</v>
      </c>
      <c r="C31" s="7">
        <f>D31*C7</f>
        <v>1078.9128000000001</v>
      </c>
      <c r="D31" s="2">
        <v>0.09</v>
      </c>
      <c r="E31" s="7">
        <f>C31*12</f>
        <v>12946.953600000001</v>
      </c>
    </row>
    <row r="32" spans="1:5" ht="15.6" x14ac:dyDescent="0.3">
      <c r="A32" s="57" t="s">
        <v>38</v>
      </c>
      <c r="B32" s="2" t="s">
        <v>40</v>
      </c>
      <c r="C32" s="7">
        <f>D32*C7</f>
        <v>359.63759999999996</v>
      </c>
      <c r="D32" s="2">
        <v>0.03</v>
      </c>
      <c r="E32" s="7">
        <f>C32*12</f>
        <v>4315.6511999999993</v>
      </c>
    </row>
    <row r="33" spans="1:5" ht="15.6" x14ac:dyDescent="0.3">
      <c r="A33" s="57" t="s">
        <v>39</v>
      </c>
      <c r="B33" s="2" t="s">
        <v>41</v>
      </c>
      <c r="C33" s="7">
        <f>D33*C7</f>
        <v>8031.9064000000008</v>
      </c>
      <c r="D33" s="2">
        <v>0.67</v>
      </c>
      <c r="E33" s="7">
        <f>C33*12</f>
        <v>96382.876800000013</v>
      </c>
    </row>
    <row r="34" spans="1:5" ht="31.2" x14ac:dyDescent="0.3">
      <c r="A34" s="65" t="s">
        <v>42</v>
      </c>
      <c r="B34" s="18" t="s">
        <v>43</v>
      </c>
      <c r="C34" s="22">
        <f>SUM(C35:C40)</f>
        <v>34318.53839999999</v>
      </c>
      <c r="D34" s="22">
        <f>SUM(D35:D40)</f>
        <v>3.4366666666666661</v>
      </c>
      <c r="E34" s="22">
        <f>SUM(E35:E40)</f>
        <v>411822.4608</v>
      </c>
    </row>
    <row r="35" spans="1:5" ht="27" x14ac:dyDescent="0.3">
      <c r="A35" s="57" t="s">
        <v>44</v>
      </c>
      <c r="B35" s="12" t="s">
        <v>73</v>
      </c>
      <c r="C35" s="7">
        <f>D35*C7</f>
        <v>30329.437599999997</v>
      </c>
      <c r="D35" s="2">
        <v>2.5299999999999998</v>
      </c>
      <c r="E35" s="7">
        <f>C35*12</f>
        <v>363953.25119999994</v>
      </c>
    </row>
    <row r="36" spans="1:5" ht="15.6" x14ac:dyDescent="0.3">
      <c r="A36" s="57" t="s">
        <v>46</v>
      </c>
      <c r="B36" s="58" t="s">
        <v>45</v>
      </c>
      <c r="C36" s="54">
        <f>D36*C7</f>
        <v>1078.9128000000001</v>
      </c>
      <c r="D36" s="55">
        <v>0.09</v>
      </c>
      <c r="E36" s="54">
        <f t="shared" ref="E36:E40" si="1">C36*12</f>
        <v>12946.953600000001</v>
      </c>
    </row>
    <row r="37" spans="1:5" ht="15.6" x14ac:dyDescent="0.3">
      <c r="A37" s="57" t="s">
        <v>47</v>
      </c>
      <c r="B37" s="55" t="s">
        <v>48</v>
      </c>
      <c r="C37" s="54">
        <f>D37*C7</f>
        <v>239.75839999999999</v>
      </c>
      <c r="D37" s="55">
        <v>0.02</v>
      </c>
      <c r="E37" s="54">
        <f t="shared" si="1"/>
        <v>2877.1008000000002</v>
      </c>
    </row>
    <row r="38" spans="1:5" ht="15.6" x14ac:dyDescent="0.3">
      <c r="A38" s="57" t="s">
        <v>49</v>
      </c>
      <c r="B38" s="55" t="s">
        <v>50</v>
      </c>
      <c r="C38" s="54">
        <f>D38*C7</f>
        <v>359.63759999999996</v>
      </c>
      <c r="D38" s="55">
        <v>0.03</v>
      </c>
      <c r="E38" s="54">
        <f t="shared" si="1"/>
        <v>4315.6511999999993</v>
      </c>
    </row>
    <row r="39" spans="1:5" ht="15.6" x14ac:dyDescent="0.3">
      <c r="A39" s="57" t="s">
        <v>51</v>
      </c>
      <c r="B39" s="55" t="s">
        <v>52</v>
      </c>
      <c r="C39" s="59">
        <f>E39/12</f>
        <v>1112</v>
      </c>
      <c r="D39" s="59">
        <f>C39/C8</f>
        <v>0.66666666666666663</v>
      </c>
      <c r="E39" s="59">
        <f>C8*4*2</f>
        <v>13344</v>
      </c>
    </row>
    <row r="40" spans="1:5" ht="15.6" x14ac:dyDescent="0.3">
      <c r="A40" s="57" t="s">
        <v>53</v>
      </c>
      <c r="B40" s="55" t="s">
        <v>30</v>
      </c>
      <c r="C40" s="54">
        <f>D40*C7</f>
        <v>1198.7920000000001</v>
      </c>
      <c r="D40" s="55">
        <v>0.1</v>
      </c>
      <c r="E40" s="54">
        <f t="shared" si="1"/>
        <v>14385.504000000001</v>
      </c>
    </row>
    <row r="41" spans="1:5" ht="17.399999999999999" x14ac:dyDescent="0.3">
      <c r="A41" s="26" t="s">
        <v>68</v>
      </c>
      <c r="B41" s="16" t="s">
        <v>59</v>
      </c>
      <c r="C41" s="22">
        <f>D41*C7</f>
        <v>7145.6287488000089</v>
      </c>
      <c r="D41" s="22">
        <f>C9-D16-D23</f>
        <v>0.59606910529933543</v>
      </c>
      <c r="E41" s="22">
        <f>C41*12</f>
        <v>85747.544985600107</v>
      </c>
    </row>
    <row r="42" spans="1:5" ht="15.6" x14ac:dyDescent="0.3">
      <c r="A42" s="24" t="s">
        <v>77</v>
      </c>
      <c r="B42" s="2" t="s">
        <v>78</v>
      </c>
      <c r="C42" s="7">
        <f>E42/12</f>
        <v>7145.6283333333331</v>
      </c>
      <c r="D42" s="7">
        <f>C42/C7</f>
        <v>0.59606907064222425</v>
      </c>
      <c r="E42" s="55">
        <v>85747.54</v>
      </c>
    </row>
    <row r="43" spans="1:5" ht="15.6" x14ac:dyDescent="0.3">
      <c r="A43" s="31"/>
      <c r="B43" s="32" t="s">
        <v>60</v>
      </c>
      <c r="C43" s="30">
        <f>D43*C7</f>
        <v>113645.4816</v>
      </c>
      <c r="D43" s="30">
        <f>D41+D23+D16</f>
        <v>9.48</v>
      </c>
      <c r="E43" s="30">
        <f>C43*12</f>
        <v>1363745.7792</v>
      </c>
    </row>
    <row r="44" spans="1:5" ht="15.6" x14ac:dyDescent="0.3">
      <c r="A44" s="31" t="s">
        <v>69</v>
      </c>
      <c r="B44" s="16" t="s">
        <v>65</v>
      </c>
      <c r="C44" s="16">
        <f>D44*C7</f>
        <v>2083.3333333333335</v>
      </c>
      <c r="D44" s="22">
        <f>C10/C7/12</f>
        <v>0.17378605574055661</v>
      </c>
      <c r="E44" s="16">
        <f>C44*12</f>
        <v>25000</v>
      </c>
    </row>
    <row r="45" spans="1:5" ht="15.6" x14ac:dyDescent="0.3">
      <c r="A45" s="24" t="s">
        <v>74</v>
      </c>
      <c r="B45" s="55" t="s">
        <v>72</v>
      </c>
      <c r="C45" s="76">
        <f>E45/12</f>
        <v>2083.3333333333335</v>
      </c>
      <c r="D45" s="54">
        <f>C45/C7</f>
        <v>0.17378605574055661</v>
      </c>
      <c r="E45" s="55">
        <v>25000</v>
      </c>
    </row>
    <row r="46" spans="1:5" x14ac:dyDescent="0.3">
      <c r="A46" s="119" t="s">
        <v>166</v>
      </c>
      <c r="B46" s="120"/>
      <c r="C46" s="120"/>
      <c r="D46" s="120"/>
      <c r="E46" s="121"/>
    </row>
    <row r="47" spans="1:5" x14ac:dyDescent="0.3">
      <c r="A47" s="122"/>
      <c r="B47" s="123"/>
      <c r="C47" s="123"/>
      <c r="D47" s="123"/>
      <c r="E47" s="124"/>
    </row>
    <row r="48" spans="1:5" x14ac:dyDescent="0.3">
      <c r="A48" s="122"/>
      <c r="B48" s="123"/>
      <c r="C48" s="123"/>
      <c r="D48" s="123"/>
      <c r="E48" s="124"/>
    </row>
    <row r="49" spans="1:5" x14ac:dyDescent="0.3">
      <c r="A49" s="125"/>
      <c r="B49" s="126"/>
      <c r="C49" s="126"/>
      <c r="D49" s="126"/>
      <c r="E49" s="127"/>
    </row>
    <row r="50" spans="1:5" ht="39.75" customHeight="1" x14ac:dyDescent="0.3">
      <c r="A50" s="114" t="s">
        <v>167</v>
      </c>
      <c r="B50" s="115"/>
      <c r="C50" s="3"/>
      <c r="D50" s="3"/>
      <c r="E50" s="3"/>
    </row>
  </sheetData>
  <mergeCells count="18">
    <mergeCell ref="A7:B7"/>
    <mergeCell ref="C7:E7"/>
    <mergeCell ref="A2:E4"/>
    <mergeCell ref="A5:B5"/>
    <mergeCell ref="C5:E5"/>
    <mergeCell ref="A6:B6"/>
    <mergeCell ref="C6:E6"/>
    <mergeCell ref="A8:B8"/>
    <mergeCell ref="C8:E8"/>
    <mergeCell ref="A9:B9"/>
    <mergeCell ref="C9:E9"/>
    <mergeCell ref="A10:B10"/>
    <mergeCell ref="C10:E10"/>
    <mergeCell ref="A46:E49"/>
    <mergeCell ref="A50:B50"/>
    <mergeCell ref="A13:B13"/>
    <mergeCell ref="C13:E13"/>
    <mergeCell ref="A14:E1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8"/>
  <sheetViews>
    <sheetView topLeftCell="A39" workbookViewId="0">
      <selection activeCell="F41" sqref="F41"/>
    </sheetView>
  </sheetViews>
  <sheetFormatPr defaultRowHeight="13.8" x14ac:dyDescent="0.3"/>
  <cols>
    <col min="1" max="1" width="8.5546875" style="29" customWidth="1"/>
    <col min="2" max="2" width="51.88671875" customWidth="1"/>
    <col min="3" max="3" width="11.6640625" customWidth="1"/>
    <col min="4" max="4" width="11.88671875" customWidth="1"/>
    <col min="5" max="5" width="12.33203125" customWidth="1"/>
  </cols>
  <sheetData>
    <row r="2" spans="1:5" x14ac:dyDescent="0.3">
      <c r="A2" s="102" t="s">
        <v>90</v>
      </c>
      <c r="B2" s="102"/>
      <c r="C2" s="102"/>
      <c r="D2" s="102"/>
      <c r="E2" s="102"/>
    </row>
    <row r="3" spans="1:5" x14ac:dyDescent="0.3">
      <c r="A3" s="102"/>
      <c r="B3" s="102"/>
      <c r="C3" s="102"/>
      <c r="D3" s="102"/>
      <c r="E3" s="102"/>
    </row>
    <row r="4" spans="1:5" x14ac:dyDescent="0.3">
      <c r="A4" s="103"/>
      <c r="B4" s="103"/>
      <c r="C4" s="103"/>
      <c r="D4" s="103"/>
      <c r="E4" s="103"/>
    </row>
    <row r="5" spans="1:5" ht="15.6" x14ac:dyDescent="0.3">
      <c r="A5" s="97" t="s">
        <v>0</v>
      </c>
      <c r="B5" s="98"/>
      <c r="C5" s="97" t="s">
        <v>1</v>
      </c>
      <c r="D5" s="104"/>
      <c r="E5" s="98"/>
    </row>
    <row r="6" spans="1:5" ht="15.6" x14ac:dyDescent="0.3">
      <c r="A6" s="97" t="s">
        <v>2</v>
      </c>
      <c r="B6" s="98"/>
      <c r="C6" s="133">
        <v>4</v>
      </c>
      <c r="D6" s="134"/>
      <c r="E6" s="135"/>
    </row>
    <row r="7" spans="1:5" ht="15.6" x14ac:dyDescent="0.3">
      <c r="A7" s="97" t="s">
        <v>3</v>
      </c>
      <c r="B7" s="98"/>
      <c r="C7" s="133">
        <v>7082.9</v>
      </c>
      <c r="D7" s="134"/>
      <c r="E7" s="135"/>
    </row>
    <row r="8" spans="1:5" ht="15.6" x14ac:dyDescent="0.3">
      <c r="A8" s="97" t="s">
        <v>4</v>
      </c>
      <c r="B8" s="98"/>
      <c r="C8" s="133">
        <v>784</v>
      </c>
      <c r="D8" s="134"/>
      <c r="E8" s="135"/>
    </row>
    <row r="9" spans="1:5" ht="15.6" x14ac:dyDescent="0.3">
      <c r="A9" s="97" t="s">
        <v>5</v>
      </c>
      <c r="B9" s="98"/>
      <c r="C9" s="133">
        <v>12.5</v>
      </c>
      <c r="D9" s="134"/>
      <c r="E9" s="135"/>
    </row>
    <row r="10" spans="1:5" ht="15.6" x14ac:dyDescent="0.3">
      <c r="A10" s="97" t="s">
        <v>6</v>
      </c>
      <c r="B10" s="98"/>
      <c r="C10" s="133">
        <v>21000</v>
      </c>
      <c r="D10" s="134"/>
      <c r="E10" s="135"/>
    </row>
    <row r="11" spans="1:5" ht="15.6" x14ac:dyDescent="0.3">
      <c r="A11" s="47"/>
      <c r="B11" s="48" t="s">
        <v>56</v>
      </c>
      <c r="C11" s="47"/>
      <c r="D11" s="49">
        <f>C7*C9</f>
        <v>88536.25</v>
      </c>
      <c r="E11" s="48"/>
    </row>
    <row r="12" spans="1:5" ht="15.6" x14ac:dyDescent="0.3">
      <c r="A12" s="47"/>
      <c r="B12" s="48" t="s">
        <v>64</v>
      </c>
      <c r="C12" s="47"/>
      <c r="D12" s="49">
        <f>D11+(C10/12)</f>
        <v>90286.25</v>
      </c>
      <c r="E12" s="48"/>
    </row>
    <row r="13" spans="1:5" ht="15.6" x14ac:dyDescent="0.3">
      <c r="A13" s="97" t="s">
        <v>7</v>
      </c>
      <c r="B13" s="98"/>
      <c r="C13" s="97">
        <f>(C7*C9*12)+C10</f>
        <v>1083435</v>
      </c>
      <c r="D13" s="104"/>
      <c r="E13" s="98"/>
    </row>
    <row r="14" spans="1:5" ht="15.6" x14ac:dyDescent="0.3">
      <c r="A14" s="97" t="s">
        <v>8</v>
      </c>
      <c r="B14" s="104"/>
      <c r="C14" s="104"/>
      <c r="D14" s="104"/>
      <c r="E14" s="98"/>
    </row>
    <row r="15" spans="1:5" ht="46.8" x14ac:dyDescent="0.3">
      <c r="A15" s="4"/>
      <c r="B15" s="10" t="s">
        <v>12</v>
      </c>
      <c r="C15" s="10" t="s">
        <v>13</v>
      </c>
      <c r="D15" s="11" t="s">
        <v>14</v>
      </c>
      <c r="E15" s="10" t="s">
        <v>15</v>
      </c>
    </row>
    <row r="16" spans="1:5" ht="18" x14ac:dyDescent="0.35">
      <c r="A16" s="23">
        <v>1</v>
      </c>
      <c r="B16" s="14" t="s">
        <v>9</v>
      </c>
      <c r="C16" s="21">
        <f>C17+C18</f>
        <v>19717.868000000002</v>
      </c>
      <c r="D16" s="21">
        <f>D17+D18</f>
        <v>2.911340058450635</v>
      </c>
      <c r="E16" s="21">
        <f>E17+E18</f>
        <v>236614.416</v>
      </c>
    </row>
    <row r="17" spans="1:5" ht="15.6" x14ac:dyDescent="0.3">
      <c r="A17" s="24" t="s">
        <v>10</v>
      </c>
      <c r="B17" s="8" t="s">
        <v>11</v>
      </c>
      <c r="C17" s="54">
        <f>(D11*13.8%)+(C10*13.8%/12)</f>
        <v>12459.502500000001</v>
      </c>
      <c r="D17" s="54">
        <f>C17/C7</f>
        <v>1.7590962035324516</v>
      </c>
      <c r="E17" s="54">
        <f>C17*12</f>
        <v>149514.03</v>
      </c>
    </row>
    <row r="18" spans="1:5" ht="15.6" x14ac:dyDescent="0.3">
      <c r="A18" s="4" t="s">
        <v>16</v>
      </c>
      <c r="B18" s="8" t="s">
        <v>17</v>
      </c>
      <c r="C18" s="62">
        <f>SUM(C19:C21)</f>
        <v>7258.3654999999999</v>
      </c>
      <c r="D18" s="62">
        <f>SUM(D19:D22)</f>
        <v>1.1522438549181835</v>
      </c>
      <c r="E18" s="62">
        <f t="shared" ref="E18" si="0">SUM(E19:E21)</f>
        <v>87100.385999999999</v>
      </c>
    </row>
    <row r="19" spans="1:5" ht="15.6" x14ac:dyDescent="0.3">
      <c r="A19" s="24" t="s">
        <v>18</v>
      </c>
      <c r="B19" s="8" t="s">
        <v>19</v>
      </c>
      <c r="C19" s="54">
        <f>E19/12</f>
        <v>2335.75</v>
      </c>
      <c r="D19" s="54">
        <f>C19/C7</f>
        <v>0.32977311553177374</v>
      </c>
      <c r="E19" s="54">
        <v>28029</v>
      </c>
    </row>
    <row r="20" spans="1:5" ht="42" x14ac:dyDescent="0.3">
      <c r="A20" s="24" t="s">
        <v>20</v>
      </c>
      <c r="B20" s="13" t="s">
        <v>21</v>
      </c>
      <c r="C20" s="54">
        <f>D20*C7</f>
        <v>1912.383</v>
      </c>
      <c r="D20" s="55">
        <v>0.27</v>
      </c>
      <c r="E20" s="54">
        <f>C20*12</f>
        <v>22948.596000000001</v>
      </c>
    </row>
    <row r="21" spans="1:5" ht="15.6" x14ac:dyDescent="0.3">
      <c r="A21" s="24" t="s">
        <v>22</v>
      </c>
      <c r="B21" s="8" t="s">
        <v>23</v>
      </c>
      <c r="C21" s="7">
        <f>D11*3.4%</f>
        <v>3010.2325000000001</v>
      </c>
      <c r="D21" s="7">
        <f>C21/C7</f>
        <v>0.42500000000000004</v>
      </c>
      <c r="E21" s="7">
        <f>C21*12</f>
        <v>36122.79</v>
      </c>
    </row>
    <row r="22" spans="1:5" ht="15.6" x14ac:dyDescent="0.3">
      <c r="A22" s="24" t="s">
        <v>66</v>
      </c>
      <c r="B22" s="8" t="s">
        <v>67</v>
      </c>
      <c r="C22" s="7">
        <f>E22/12</f>
        <v>902.86250000000007</v>
      </c>
      <c r="D22" s="7">
        <f>C22/C7</f>
        <v>0.12747073938640954</v>
      </c>
      <c r="E22" s="7">
        <f>C13*1%</f>
        <v>10834.35</v>
      </c>
    </row>
    <row r="23" spans="1:5" ht="18" x14ac:dyDescent="0.35">
      <c r="A23" s="25" t="s">
        <v>24</v>
      </c>
      <c r="B23" s="14" t="s">
        <v>25</v>
      </c>
      <c r="C23" s="21">
        <f>C24+C28+C34</f>
        <v>42141.119333333336</v>
      </c>
      <c r="D23" s="21">
        <f>D24+D28+D34</f>
        <v>5.9496984756714522</v>
      </c>
      <c r="E23" s="21">
        <f>E24+E28+E34</f>
        <v>505693.43200000003</v>
      </c>
    </row>
    <row r="24" spans="1:5" ht="17.399999999999999" x14ac:dyDescent="0.3">
      <c r="A24" s="26" t="s">
        <v>26</v>
      </c>
      <c r="B24" s="15" t="s">
        <v>27</v>
      </c>
      <c r="C24" s="22">
        <f>SUM(C25:C27)</f>
        <v>1658.2536666666665</v>
      </c>
      <c r="D24" s="22">
        <f>SUM(D25:D27)</f>
        <v>0.23412072267950509</v>
      </c>
      <c r="E24" s="22">
        <f>SUM(E25:E27)</f>
        <v>19899.043999999998</v>
      </c>
    </row>
    <row r="25" spans="1:5" ht="15.6" x14ac:dyDescent="0.3">
      <c r="A25" s="57" t="s">
        <v>28</v>
      </c>
      <c r="B25" s="13" t="s">
        <v>61</v>
      </c>
      <c r="C25" s="7">
        <f>D25*C7</f>
        <v>1274.9219999999998</v>
      </c>
      <c r="D25" s="2">
        <v>0.18</v>
      </c>
      <c r="E25" s="7">
        <f>C25*12</f>
        <v>15299.063999999998</v>
      </c>
    </row>
    <row r="26" spans="1:5" ht="15.6" x14ac:dyDescent="0.3">
      <c r="A26" s="57" t="s">
        <v>29</v>
      </c>
      <c r="B26" s="2" t="s">
        <v>30</v>
      </c>
      <c r="C26" s="7">
        <f>D26*C7</f>
        <v>354.14499999999998</v>
      </c>
      <c r="D26" s="2">
        <v>0.05</v>
      </c>
      <c r="E26" s="7">
        <f>C26*12</f>
        <v>4249.74</v>
      </c>
    </row>
    <row r="27" spans="1:5" ht="15.6" x14ac:dyDescent="0.3">
      <c r="A27" s="57" t="s">
        <v>31</v>
      </c>
      <c r="B27" s="55" t="s">
        <v>57</v>
      </c>
      <c r="C27" s="54">
        <f>E27/12</f>
        <v>29.186666666666667</v>
      </c>
      <c r="D27" s="56">
        <f>C27/C7</f>
        <v>4.1207226795050992E-3</v>
      </c>
      <c r="E27" s="55">
        <f>87.56*4</f>
        <v>350.24</v>
      </c>
    </row>
    <row r="28" spans="1:5" ht="17.399999999999999" x14ac:dyDescent="0.3">
      <c r="A28" s="65" t="s">
        <v>32</v>
      </c>
      <c r="B28" s="17" t="s">
        <v>33</v>
      </c>
      <c r="C28" s="22">
        <f>SUM(C29:C33)</f>
        <v>20340.565999999999</v>
      </c>
      <c r="D28" s="22">
        <f>SUM(D29:D33)</f>
        <v>2.8717850033178496</v>
      </c>
      <c r="E28" s="22">
        <f>SUM(E29:E33)</f>
        <v>244086.79200000002</v>
      </c>
    </row>
    <row r="29" spans="1:5" ht="15.6" x14ac:dyDescent="0.3">
      <c r="A29" s="57" t="s">
        <v>34</v>
      </c>
      <c r="B29" s="13" t="s">
        <v>62</v>
      </c>
      <c r="C29" s="7">
        <f>D29*C7</f>
        <v>12395.074999999999</v>
      </c>
      <c r="D29" s="2">
        <v>1.75</v>
      </c>
      <c r="E29" s="7">
        <f>C29*12</f>
        <v>148740.9</v>
      </c>
    </row>
    <row r="30" spans="1:5" ht="15.6" x14ac:dyDescent="0.3">
      <c r="A30" s="57" t="s">
        <v>35</v>
      </c>
      <c r="B30" s="55" t="s">
        <v>36</v>
      </c>
      <c r="C30" s="55">
        <v>2350</v>
      </c>
      <c r="D30" s="54">
        <f>C30/C7</f>
        <v>0.33178500331785005</v>
      </c>
      <c r="E30" s="2">
        <f>C30*12</f>
        <v>28200</v>
      </c>
    </row>
    <row r="31" spans="1:5" ht="15.6" x14ac:dyDescent="0.3">
      <c r="A31" s="57" t="s">
        <v>37</v>
      </c>
      <c r="B31" s="55" t="s">
        <v>30</v>
      </c>
      <c r="C31" s="54">
        <f>D31*C7</f>
        <v>637.4609999999999</v>
      </c>
      <c r="D31" s="55">
        <v>0.09</v>
      </c>
      <c r="E31" s="7">
        <f>C31*12</f>
        <v>7649.5319999999992</v>
      </c>
    </row>
    <row r="32" spans="1:5" ht="15.6" x14ac:dyDescent="0.3">
      <c r="A32" s="57" t="s">
        <v>38</v>
      </c>
      <c r="B32" s="2" t="s">
        <v>40</v>
      </c>
      <c r="C32" s="7">
        <f>D32*C7</f>
        <v>212.48699999999999</v>
      </c>
      <c r="D32" s="2">
        <v>0.03</v>
      </c>
      <c r="E32" s="7">
        <f>C32*12</f>
        <v>2549.8440000000001</v>
      </c>
    </row>
    <row r="33" spans="1:5" ht="15.6" x14ac:dyDescent="0.3">
      <c r="A33" s="57" t="s">
        <v>39</v>
      </c>
      <c r="B33" s="2" t="s">
        <v>41</v>
      </c>
      <c r="C33" s="7">
        <f>D33*C7</f>
        <v>4745.5429999999997</v>
      </c>
      <c r="D33" s="2">
        <v>0.67</v>
      </c>
      <c r="E33" s="7">
        <f>C33*12</f>
        <v>56946.515999999996</v>
      </c>
    </row>
    <row r="34" spans="1:5" ht="31.2" x14ac:dyDescent="0.3">
      <c r="A34" s="65" t="s">
        <v>42</v>
      </c>
      <c r="B34" s="18" t="s">
        <v>43</v>
      </c>
      <c r="C34" s="22">
        <f>SUM(C35:C40)</f>
        <v>20142.299666666666</v>
      </c>
      <c r="D34" s="22">
        <f>SUM(D35:D40)</f>
        <v>2.8437927496740971</v>
      </c>
      <c r="E34" s="22">
        <f>SUM(E35:E40)</f>
        <v>241707.59600000002</v>
      </c>
    </row>
    <row r="35" spans="1:5" ht="27" x14ac:dyDescent="0.3">
      <c r="A35" s="57" t="s">
        <v>44</v>
      </c>
      <c r="B35" s="64" t="s">
        <v>73</v>
      </c>
      <c r="C35" s="54">
        <f>D35*C7</f>
        <v>17919.736999999997</v>
      </c>
      <c r="D35" s="55">
        <v>2.5299999999999998</v>
      </c>
      <c r="E35" s="54">
        <f>C35*12</f>
        <v>215036.84399999998</v>
      </c>
    </row>
    <row r="36" spans="1:5" ht="15.6" x14ac:dyDescent="0.3">
      <c r="A36" s="57" t="s">
        <v>46</v>
      </c>
      <c r="B36" s="58" t="s">
        <v>45</v>
      </c>
      <c r="C36" s="54">
        <f>D36*C7</f>
        <v>637.4609999999999</v>
      </c>
      <c r="D36" s="55">
        <v>0.09</v>
      </c>
      <c r="E36" s="54">
        <f t="shared" ref="E36:E40" si="1">C36*12</f>
        <v>7649.5319999999992</v>
      </c>
    </row>
    <row r="37" spans="1:5" ht="15.6" x14ac:dyDescent="0.3">
      <c r="A37" s="57" t="s">
        <v>47</v>
      </c>
      <c r="B37" s="55" t="s">
        <v>48</v>
      </c>
      <c r="C37" s="54">
        <f>D37*C7</f>
        <v>141.65799999999999</v>
      </c>
      <c r="D37" s="55">
        <v>0.02</v>
      </c>
      <c r="E37" s="54">
        <f t="shared" si="1"/>
        <v>1699.8959999999997</v>
      </c>
    </row>
    <row r="38" spans="1:5" ht="15.6" x14ac:dyDescent="0.3">
      <c r="A38" s="57" t="s">
        <v>49</v>
      </c>
      <c r="B38" s="55" t="s">
        <v>50</v>
      </c>
      <c r="C38" s="54">
        <f>D38*C7</f>
        <v>212.48699999999999</v>
      </c>
      <c r="D38" s="55">
        <v>0.03</v>
      </c>
      <c r="E38" s="54">
        <f t="shared" si="1"/>
        <v>2549.8440000000001</v>
      </c>
    </row>
    <row r="39" spans="1:5" ht="15.6" x14ac:dyDescent="0.3">
      <c r="A39" s="57" t="s">
        <v>51</v>
      </c>
      <c r="B39" s="55" t="s">
        <v>52</v>
      </c>
      <c r="C39" s="59">
        <f>E39/12</f>
        <v>522.66666666666663</v>
      </c>
      <c r="D39" s="59">
        <f>C39/C7</f>
        <v>7.3792749674097713E-2</v>
      </c>
      <c r="E39" s="59">
        <f>C8*4*2</f>
        <v>6272</v>
      </c>
    </row>
    <row r="40" spans="1:5" ht="15.6" x14ac:dyDescent="0.3">
      <c r="A40" s="57" t="s">
        <v>55</v>
      </c>
      <c r="B40" s="2" t="s">
        <v>30</v>
      </c>
      <c r="C40" s="7">
        <f>D40*C7</f>
        <v>708.29</v>
      </c>
      <c r="D40" s="2">
        <v>0.1</v>
      </c>
      <c r="E40" s="7">
        <f t="shared" si="1"/>
        <v>8499.48</v>
      </c>
    </row>
    <row r="41" spans="1:5" ht="17.399999999999999" x14ac:dyDescent="0.3">
      <c r="A41" s="26" t="s">
        <v>68</v>
      </c>
      <c r="B41" s="16" t="s">
        <v>59</v>
      </c>
      <c r="C41" s="16">
        <f>D41*C7</f>
        <v>25774.400166666663</v>
      </c>
      <c r="D41" s="22">
        <f>C9-D16-D23</f>
        <v>3.6389614658779124</v>
      </c>
      <c r="E41" s="22">
        <f>C41*12</f>
        <v>309292.80199999997</v>
      </c>
    </row>
    <row r="42" spans="1:5" ht="15.6" x14ac:dyDescent="0.3">
      <c r="A42" s="83" t="s">
        <v>77</v>
      </c>
      <c r="B42" s="81" t="s">
        <v>78</v>
      </c>
      <c r="C42" s="82">
        <f>E42/12</f>
        <v>5833.333333333333</v>
      </c>
      <c r="D42" s="82">
        <f>C42/C7</f>
        <v>0.8235797954698405</v>
      </c>
      <c r="E42" s="81">
        <v>70000</v>
      </c>
    </row>
    <row r="43" spans="1:5" ht="15.6" x14ac:dyDescent="0.3">
      <c r="A43" s="24" t="s">
        <v>79</v>
      </c>
      <c r="B43" s="2" t="s">
        <v>157</v>
      </c>
      <c r="C43" s="54">
        <f>E43/12</f>
        <v>2500</v>
      </c>
      <c r="D43" s="54">
        <f>C43/C7</f>
        <v>0.3529627694870745</v>
      </c>
      <c r="E43" s="55">
        <v>30000</v>
      </c>
    </row>
    <row r="44" spans="1:5" ht="15.6" x14ac:dyDescent="0.3">
      <c r="A44" s="24" t="s">
        <v>80</v>
      </c>
      <c r="B44" s="2" t="s">
        <v>158</v>
      </c>
      <c r="C44" s="54">
        <f>E44/12</f>
        <v>3333.3333333333335</v>
      </c>
      <c r="D44" s="54">
        <f>C44/C7</f>
        <v>0.47061702598276606</v>
      </c>
      <c r="E44" s="55">
        <v>40000</v>
      </c>
    </row>
    <row r="45" spans="1:5" ht="15.6" x14ac:dyDescent="0.3">
      <c r="A45" s="24" t="s">
        <v>81</v>
      </c>
      <c r="B45" s="2" t="s">
        <v>159</v>
      </c>
      <c r="C45" s="7">
        <f t="shared" ref="C45:C50" si="2">E45/12</f>
        <v>1666.6666666666667</v>
      </c>
      <c r="D45" s="7">
        <f>C45/C7</f>
        <v>0.23530851299138303</v>
      </c>
      <c r="E45" s="55">
        <v>20000</v>
      </c>
    </row>
    <row r="46" spans="1:5" ht="15.6" x14ac:dyDescent="0.3">
      <c r="A46" s="24" t="s">
        <v>82</v>
      </c>
      <c r="B46" s="2" t="s">
        <v>160</v>
      </c>
      <c r="C46" s="7">
        <f>E46/12</f>
        <v>1750</v>
      </c>
      <c r="D46" s="7">
        <f>C46/C7</f>
        <v>0.24707393864095217</v>
      </c>
      <c r="E46" s="55">
        <v>21000</v>
      </c>
    </row>
    <row r="47" spans="1:5" ht="15.6" x14ac:dyDescent="0.3">
      <c r="A47" s="24" t="s">
        <v>83</v>
      </c>
      <c r="B47" s="2" t="s">
        <v>148</v>
      </c>
      <c r="C47" s="7">
        <f t="shared" si="2"/>
        <v>10691.066666666668</v>
      </c>
      <c r="D47" s="7">
        <f>C47/C7</f>
        <v>1.5094193997750454</v>
      </c>
      <c r="E47" s="54">
        <v>128292.8</v>
      </c>
    </row>
    <row r="48" spans="1:5" ht="15.6" x14ac:dyDescent="0.3">
      <c r="A48" s="24" t="s">
        <v>132</v>
      </c>
      <c r="B48" s="2"/>
      <c r="C48" s="7">
        <f t="shared" si="2"/>
        <v>0</v>
      </c>
      <c r="D48" s="7">
        <f>C48/C7</f>
        <v>0</v>
      </c>
      <c r="E48" s="55"/>
    </row>
    <row r="49" spans="1:5" ht="15.6" x14ac:dyDescent="0.3">
      <c r="A49" s="38" t="s">
        <v>133</v>
      </c>
      <c r="B49" s="2"/>
      <c r="C49" s="7">
        <f t="shared" si="2"/>
        <v>0</v>
      </c>
      <c r="D49" s="7">
        <f>C49/C7</f>
        <v>0</v>
      </c>
      <c r="E49" s="55"/>
    </row>
    <row r="50" spans="1:5" ht="15.6" x14ac:dyDescent="0.3">
      <c r="A50" s="24" t="s">
        <v>134</v>
      </c>
      <c r="B50" s="2"/>
      <c r="C50" s="7">
        <f t="shared" si="2"/>
        <v>0</v>
      </c>
      <c r="D50" s="7">
        <f>C50/C7</f>
        <v>0</v>
      </c>
      <c r="E50" s="55"/>
    </row>
    <row r="51" spans="1:5" ht="15.6" x14ac:dyDescent="0.3">
      <c r="A51" s="24"/>
      <c r="B51" s="2"/>
      <c r="C51" s="7"/>
      <c r="D51" s="7"/>
      <c r="E51" s="55"/>
    </row>
    <row r="52" spans="1:5" ht="15.6" x14ac:dyDescent="0.3">
      <c r="A52" s="24"/>
      <c r="B52" s="2"/>
      <c r="C52" s="7"/>
      <c r="D52" s="7"/>
      <c r="E52" s="55"/>
    </row>
    <row r="53" spans="1:5" ht="15.6" x14ac:dyDescent="0.3">
      <c r="A53" s="24"/>
      <c r="B53" s="2"/>
      <c r="C53" s="7"/>
      <c r="D53" s="7"/>
      <c r="E53" s="55"/>
    </row>
    <row r="54" spans="1:5" ht="15.6" x14ac:dyDescent="0.3">
      <c r="A54" s="24"/>
      <c r="B54" s="2"/>
      <c r="C54" s="7"/>
      <c r="D54" s="7"/>
      <c r="E54" s="55"/>
    </row>
    <row r="55" spans="1:5" ht="15.6" x14ac:dyDescent="0.3">
      <c r="A55" s="24"/>
      <c r="B55" s="2"/>
      <c r="C55" s="7"/>
      <c r="D55" s="7"/>
      <c r="E55" s="55"/>
    </row>
    <row r="56" spans="1:5" ht="15.6" x14ac:dyDescent="0.3">
      <c r="A56" s="24"/>
      <c r="B56" s="40" t="s">
        <v>70</v>
      </c>
      <c r="C56" s="41">
        <f>SUM(C42:C55)</f>
        <v>25774.400000000001</v>
      </c>
      <c r="D56" s="41">
        <f>SUM(D42:D55)</f>
        <v>3.6389614423470613</v>
      </c>
      <c r="E56" s="41">
        <f>SUM(E42:E55)</f>
        <v>309292.79999999999</v>
      </c>
    </row>
    <row r="57" spans="1:5" ht="15.6" x14ac:dyDescent="0.3">
      <c r="A57" s="31"/>
      <c r="B57" s="32" t="s">
        <v>60</v>
      </c>
      <c r="C57" s="30">
        <f>D57*C7</f>
        <v>88536.25</v>
      </c>
      <c r="D57" s="30">
        <f>D41+D23+D16</f>
        <v>12.5</v>
      </c>
      <c r="E57" s="30">
        <f>C57*12</f>
        <v>1062435</v>
      </c>
    </row>
    <row r="58" spans="1:5" ht="15.6" x14ac:dyDescent="0.3">
      <c r="A58" s="31" t="s">
        <v>69</v>
      </c>
      <c r="B58" s="16" t="s">
        <v>65</v>
      </c>
      <c r="C58" s="16">
        <f>D58*C7</f>
        <v>1750</v>
      </c>
      <c r="D58" s="22">
        <f>C10/C7/12</f>
        <v>0.24707393864095217</v>
      </c>
      <c r="E58" s="16">
        <f>C58*12</f>
        <v>21000</v>
      </c>
    </row>
    <row r="59" spans="1:5" ht="15.6" x14ac:dyDescent="0.3">
      <c r="A59" s="24" t="s">
        <v>74</v>
      </c>
      <c r="B59" s="2" t="s">
        <v>72</v>
      </c>
      <c r="C59" s="39">
        <f>E59/12</f>
        <v>1750</v>
      </c>
      <c r="D59" s="7">
        <f>C59/C7</f>
        <v>0.24707393864095217</v>
      </c>
      <c r="E59" s="36">
        <v>21000</v>
      </c>
    </row>
    <row r="60" spans="1:5" ht="15.6" x14ac:dyDescent="0.3">
      <c r="A60" s="24" t="s">
        <v>75</v>
      </c>
      <c r="B60" s="2"/>
      <c r="C60" s="39"/>
      <c r="D60" s="7"/>
      <c r="E60" s="36"/>
    </row>
    <row r="61" spans="1:5" ht="15.6" x14ac:dyDescent="0.3">
      <c r="A61" s="24"/>
      <c r="B61" s="2"/>
      <c r="C61" s="39"/>
      <c r="D61" s="7"/>
      <c r="E61" s="36"/>
    </row>
    <row r="62" spans="1:5" ht="15.6" x14ac:dyDescent="0.3">
      <c r="A62" s="4"/>
      <c r="B62" s="2"/>
      <c r="C62" s="39"/>
      <c r="D62" s="7"/>
      <c r="E62" s="36"/>
    </row>
    <row r="63" spans="1:5" ht="15.6" x14ac:dyDescent="0.3">
      <c r="A63" s="4"/>
      <c r="B63" s="42" t="s">
        <v>70</v>
      </c>
      <c r="C63" s="42"/>
      <c r="D63" s="43">
        <f>SUM(D59:D62)</f>
        <v>0.24707393864095217</v>
      </c>
      <c r="E63" s="42"/>
    </row>
    <row r="64" spans="1:5" x14ac:dyDescent="0.3">
      <c r="A64" s="119" t="s">
        <v>166</v>
      </c>
      <c r="B64" s="120"/>
      <c r="C64" s="120"/>
      <c r="D64" s="120"/>
      <c r="E64" s="121"/>
    </row>
    <row r="65" spans="1:5" x14ac:dyDescent="0.3">
      <c r="A65" s="122"/>
      <c r="B65" s="123"/>
      <c r="C65" s="123"/>
      <c r="D65" s="123"/>
      <c r="E65" s="124"/>
    </row>
    <row r="66" spans="1:5" x14ac:dyDescent="0.3">
      <c r="A66" s="122"/>
      <c r="B66" s="123"/>
      <c r="C66" s="123"/>
      <c r="D66" s="123"/>
      <c r="E66" s="124"/>
    </row>
    <row r="67" spans="1:5" x14ac:dyDescent="0.3">
      <c r="A67" s="125"/>
      <c r="B67" s="126"/>
      <c r="C67" s="126"/>
      <c r="D67" s="126"/>
      <c r="E67" s="127"/>
    </row>
    <row r="68" spans="1:5" ht="42.75" customHeight="1" x14ac:dyDescent="0.3">
      <c r="A68" s="114" t="s">
        <v>167</v>
      </c>
      <c r="B68" s="115"/>
      <c r="C68" s="3"/>
      <c r="D68" s="3"/>
      <c r="E68" s="3"/>
    </row>
  </sheetData>
  <mergeCells count="18">
    <mergeCell ref="A7:B7"/>
    <mergeCell ref="C7:E7"/>
    <mergeCell ref="A2:E4"/>
    <mergeCell ref="A5:B5"/>
    <mergeCell ref="C5:E5"/>
    <mergeCell ref="A6:B6"/>
    <mergeCell ref="C6:E6"/>
    <mergeCell ref="A8:B8"/>
    <mergeCell ref="C8:E8"/>
    <mergeCell ref="A9:B9"/>
    <mergeCell ref="C9:E9"/>
    <mergeCell ref="A10:B10"/>
    <mergeCell ref="C10:E10"/>
    <mergeCell ref="A64:E67"/>
    <mergeCell ref="A68:B68"/>
    <mergeCell ref="A13:B13"/>
    <mergeCell ref="C13:E13"/>
    <mergeCell ref="A14:E14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7"/>
  <sheetViews>
    <sheetView topLeftCell="A44" workbookViewId="0">
      <selection activeCell="I50" sqref="I50"/>
    </sheetView>
  </sheetViews>
  <sheetFormatPr defaultRowHeight="13.8" x14ac:dyDescent="0.3"/>
  <cols>
    <col min="1" max="1" width="8.5546875" style="29" customWidth="1"/>
    <col min="2" max="2" width="51.88671875" customWidth="1"/>
    <col min="3" max="3" width="11.6640625" customWidth="1"/>
    <col min="4" max="4" width="11.88671875" customWidth="1"/>
    <col min="5" max="5" width="12.33203125" customWidth="1"/>
  </cols>
  <sheetData>
    <row r="2" spans="1:5" x14ac:dyDescent="0.3">
      <c r="A2" s="102" t="s">
        <v>89</v>
      </c>
      <c r="B2" s="102"/>
      <c r="C2" s="102"/>
      <c r="D2" s="102"/>
      <c r="E2" s="102"/>
    </row>
    <row r="3" spans="1:5" x14ac:dyDescent="0.3">
      <c r="A3" s="102"/>
      <c r="B3" s="102"/>
      <c r="C3" s="102"/>
      <c r="D3" s="102"/>
      <c r="E3" s="102"/>
    </row>
    <row r="4" spans="1:5" x14ac:dyDescent="0.3">
      <c r="A4" s="103"/>
      <c r="B4" s="103"/>
      <c r="C4" s="103"/>
      <c r="D4" s="103"/>
      <c r="E4" s="103"/>
    </row>
    <row r="5" spans="1:5" ht="15.6" x14ac:dyDescent="0.3">
      <c r="A5" s="97" t="s">
        <v>0</v>
      </c>
      <c r="B5" s="98"/>
      <c r="C5" s="97" t="s">
        <v>1</v>
      </c>
      <c r="D5" s="104"/>
      <c r="E5" s="98"/>
    </row>
    <row r="6" spans="1:5" ht="15.6" x14ac:dyDescent="0.3">
      <c r="A6" s="97" t="s">
        <v>2</v>
      </c>
      <c r="B6" s="98"/>
      <c r="C6" s="133">
        <v>1</v>
      </c>
      <c r="D6" s="134"/>
      <c r="E6" s="135"/>
    </row>
    <row r="7" spans="1:5" ht="15.6" x14ac:dyDescent="0.3">
      <c r="A7" s="97" t="s">
        <v>3</v>
      </c>
      <c r="B7" s="98"/>
      <c r="C7" s="133">
        <v>2407.6999999999998</v>
      </c>
      <c r="D7" s="134"/>
      <c r="E7" s="135"/>
    </row>
    <row r="8" spans="1:5" ht="15.6" x14ac:dyDescent="0.3">
      <c r="A8" s="97" t="s">
        <v>4</v>
      </c>
      <c r="B8" s="98"/>
      <c r="C8" s="133">
        <v>270</v>
      </c>
      <c r="D8" s="134"/>
      <c r="E8" s="135"/>
    </row>
    <row r="9" spans="1:5" ht="15.6" x14ac:dyDescent="0.3">
      <c r="A9" s="97" t="s">
        <v>5</v>
      </c>
      <c r="B9" s="98"/>
      <c r="C9" s="133">
        <v>11</v>
      </c>
      <c r="D9" s="134"/>
      <c r="E9" s="135"/>
    </row>
    <row r="10" spans="1:5" ht="15.6" x14ac:dyDescent="0.3">
      <c r="A10" s="97" t="s">
        <v>6</v>
      </c>
      <c r="B10" s="98"/>
      <c r="C10" s="133">
        <v>18000</v>
      </c>
      <c r="D10" s="134"/>
      <c r="E10" s="135"/>
    </row>
    <row r="11" spans="1:5" ht="15.6" x14ac:dyDescent="0.3">
      <c r="A11" s="47"/>
      <c r="B11" s="48" t="s">
        <v>56</v>
      </c>
      <c r="C11" s="47"/>
      <c r="D11" s="49">
        <f>C7*C9</f>
        <v>26484.699999999997</v>
      </c>
      <c r="E11" s="48"/>
    </row>
    <row r="12" spans="1:5" ht="15.6" x14ac:dyDescent="0.3">
      <c r="A12" s="47"/>
      <c r="B12" s="48" t="s">
        <v>64</v>
      </c>
      <c r="C12" s="47"/>
      <c r="D12" s="49">
        <f>D11+(C10/12)</f>
        <v>27984.699999999997</v>
      </c>
      <c r="E12" s="48"/>
    </row>
    <row r="13" spans="1:5" ht="15.6" x14ac:dyDescent="0.3">
      <c r="A13" s="97" t="s">
        <v>7</v>
      </c>
      <c r="B13" s="98"/>
      <c r="C13" s="97">
        <f>(C7*C9*12)+C10</f>
        <v>335816.39999999997</v>
      </c>
      <c r="D13" s="104"/>
      <c r="E13" s="98"/>
    </row>
    <row r="14" spans="1:5" ht="15.6" x14ac:dyDescent="0.3">
      <c r="A14" s="97" t="s">
        <v>8</v>
      </c>
      <c r="B14" s="104"/>
      <c r="C14" s="104"/>
      <c r="D14" s="104"/>
      <c r="E14" s="98"/>
    </row>
    <row r="15" spans="1:5" ht="46.8" x14ac:dyDescent="0.3">
      <c r="A15" s="4"/>
      <c r="B15" s="10" t="s">
        <v>12</v>
      </c>
      <c r="C15" s="10" t="s">
        <v>13</v>
      </c>
      <c r="D15" s="11" t="s">
        <v>14</v>
      </c>
      <c r="E15" s="10" t="s">
        <v>15</v>
      </c>
    </row>
    <row r="16" spans="1:5" ht="18" x14ac:dyDescent="0.35">
      <c r="A16" s="23">
        <v>1</v>
      </c>
      <c r="B16" s="14" t="s">
        <v>9</v>
      </c>
      <c r="C16" s="21">
        <f>C17+C18</f>
        <v>6495.9473999999991</v>
      </c>
      <c r="D16" s="21">
        <f>D17+D18</f>
        <v>2.8142187149561821</v>
      </c>
      <c r="E16" s="21">
        <f>E17+E18</f>
        <v>77951.368799999997</v>
      </c>
    </row>
    <row r="17" spans="1:5" ht="15.6" x14ac:dyDescent="0.3">
      <c r="A17" s="24" t="s">
        <v>10</v>
      </c>
      <c r="B17" s="8" t="s">
        <v>11</v>
      </c>
      <c r="C17" s="54">
        <f>(D11*13.8%)+(C10*13.8%/12)</f>
        <v>3861.8885999999998</v>
      </c>
      <c r="D17" s="54">
        <f>C17/C7</f>
        <v>1.6039741662167213</v>
      </c>
      <c r="E17" s="54">
        <f>C17*12</f>
        <v>46342.663199999995</v>
      </c>
    </row>
    <row r="18" spans="1:5" ht="15.6" x14ac:dyDescent="0.3">
      <c r="A18" s="4" t="s">
        <v>16</v>
      </c>
      <c r="B18" s="8" t="s">
        <v>17</v>
      </c>
      <c r="C18" s="62">
        <f>SUM(C19:C21)</f>
        <v>2634.0587999999998</v>
      </c>
      <c r="D18" s="62">
        <f>SUM(D19:D22)</f>
        <v>1.2102445487394609</v>
      </c>
      <c r="E18" s="62">
        <f t="shared" ref="E18" si="0">SUM(E19:E21)</f>
        <v>31608.705600000001</v>
      </c>
    </row>
    <row r="19" spans="1:5" ht="15.6" x14ac:dyDescent="0.3">
      <c r="A19" s="24" t="s">
        <v>18</v>
      </c>
      <c r="B19" s="8" t="s">
        <v>19</v>
      </c>
      <c r="C19" s="54">
        <f>E19/12</f>
        <v>1083.5</v>
      </c>
      <c r="D19" s="54">
        <f>C19/C7</f>
        <v>0.45001453669477098</v>
      </c>
      <c r="E19" s="54">
        <v>13002</v>
      </c>
    </row>
    <row r="20" spans="1:5" ht="42" x14ac:dyDescent="0.3">
      <c r="A20" s="24" t="s">
        <v>20</v>
      </c>
      <c r="B20" s="13" t="s">
        <v>21</v>
      </c>
      <c r="C20" s="54">
        <f>D20*C7</f>
        <v>650.07899999999995</v>
      </c>
      <c r="D20" s="55">
        <v>0.27</v>
      </c>
      <c r="E20" s="54">
        <f>C20*12</f>
        <v>7800.9479999999994</v>
      </c>
    </row>
    <row r="21" spans="1:5" ht="15.6" x14ac:dyDescent="0.3">
      <c r="A21" s="24" t="s">
        <v>22</v>
      </c>
      <c r="B21" s="8" t="s">
        <v>23</v>
      </c>
      <c r="C21" s="7">
        <f>D11*3.4%</f>
        <v>900.47979999999995</v>
      </c>
      <c r="D21" s="7">
        <f>C21/C7</f>
        <v>0.374</v>
      </c>
      <c r="E21" s="7">
        <f>C21*12</f>
        <v>10805.757599999999</v>
      </c>
    </row>
    <row r="22" spans="1:5" ht="15.6" x14ac:dyDescent="0.3">
      <c r="A22" s="24" t="s">
        <v>66</v>
      </c>
      <c r="B22" s="8" t="s">
        <v>67</v>
      </c>
      <c r="C22" s="7">
        <f>E22/12</f>
        <v>279.84699999999998</v>
      </c>
      <c r="D22" s="7">
        <f>C22/C7</f>
        <v>0.11623001204468995</v>
      </c>
      <c r="E22" s="7">
        <f>C13*1%</f>
        <v>3358.1639999999998</v>
      </c>
    </row>
    <row r="23" spans="1:5" ht="18" x14ac:dyDescent="0.35">
      <c r="A23" s="25" t="s">
        <v>24</v>
      </c>
      <c r="B23" s="14" t="s">
        <v>25</v>
      </c>
      <c r="C23" s="21">
        <f>C24+C28+C34</f>
        <v>15875.954666666665</v>
      </c>
      <c r="D23" s="21">
        <f>D24+D28+D34</f>
        <v>6.5938259196189986</v>
      </c>
      <c r="E23" s="21">
        <f>E24+E28+E34</f>
        <v>190511.45600000001</v>
      </c>
    </row>
    <row r="24" spans="1:5" ht="17.399999999999999" x14ac:dyDescent="0.3">
      <c r="A24" s="26" t="s">
        <v>26</v>
      </c>
      <c r="B24" s="15" t="s">
        <v>27</v>
      </c>
      <c r="C24" s="22">
        <f>SUM(C25:C27)</f>
        <v>561.06766666666658</v>
      </c>
      <c r="D24" s="22">
        <f>SUM(D25:D27)</f>
        <v>0.23303055474796139</v>
      </c>
      <c r="E24" s="22">
        <f>SUM(E25:E27)</f>
        <v>6732.8119999999999</v>
      </c>
    </row>
    <row r="25" spans="1:5" ht="15.6" x14ac:dyDescent="0.3">
      <c r="A25" s="24" t="s">
        <v>28</v>
      </c>
      <c r="B25" s="13" t="s">
        <v>61</v>
      </c>
      <c r="C25" s="7">
        <f>D25*C7</f>
        <v>433.38599999999997</v>
      </c>
      <c r="D25" s="2">
        <v>0.18</v>
      </c>
      <c r="E25" s="7">
        <f>C25*12</f>
        <v>5200.6319999999996</v>
      </c>
    </row>
    <row r="26" spans="1:5" ht="15.6" x14ac:dyDescent="0.3">
      <c r="A26" s="24" t="s">
        <v>29</v>
      </c>
      <c r="B26" s="2" t="s">
        <v>30</v>
      </c>
      <c r="C26" s="7">
        <f>D26*C7</f>
        <v>120.38499999999999</v>
      </c>
      <c r="D26" s="2">
        <v>0.05</v>
      </c>
      <c r="E26" s="7">
        <f>C26*12</f>
        <v>1444.62</v>
      </c>
    </row>
    <row r="27" spans="1:5" ht="15.6" x14ac:dyDescent="0.3">
      <c r="A27" s="57" t="s">
        <v>31</v>
      </c>
      <c r="B27" s="55" t="s">
        <v>57</v>
      </c>
      <c r="C27" s="54">
        <f>E27/12</f>
        <v>7.2966666666666669</v>
      </c>
      <c r="D27" s="56">
        <f>C27/C7</f>
        <v>3.030554747961402E-3</v>
      </c>
      <c r="E27" s="55">
        <f>87.56*1</f>
        <v>87.56</v>
      </c>
    </row>
    <row r="28" spans="1:5" ht="17.399999999999999" x14ac:dyDescent="0.3">
      <c r="A28" s="65" t="s">
        <v>32</v>
      </c>
      <c r="B28" s="17" t="s">
        <v>33</v>
      </c>
      <c r="C28" s="22">
        <f>SUM(C29:C33)</f>
        <v>8465.5579999999991</v>
      </c>
      <c r="D28" s="22">
        <f>SUM(D29:D33)</f>
        <v>3.5160352203347589</v>
      </c>
      <c r="E28" s="22">
        <f>SUM(E29:E33)</f>
        <v>101586.696</v>
      </c>
    </row>
    <row r="29" spans="1:5" ht="15.6" x14ac:dyDescent="0.3">
      <c r="A29" s="57" t="s">
        <v>34</v>
      </c>
      <c r="B29" s="13" t="s">
        <v>62</v>
      </c>
      <c r="C29" s="7">
        <f>D29*C7</f>
        <v>4213.4749999999995</v>
      </c>
      <c r="D29" s="2">
        <v>1.75</v>
      </c>
      <c r="E29" s="7">
        <f>C29*12</f>
        <v>50561.7</v>
      </c>
    </row>
    <row r="30" spans="1:5" ht="15.6" x14ac:dyDescent="0.3">
      <c r="A30" s="57" t="s">
        <v>35</v>
      </c>
      <c r="B30" s="55" t="s">
        <v>36</v>
      </c>
      <c r="C30" s="55">
        <v>2350</v>
      </c>
      <c r="D30" s="54">
        <f>C30/C7</f>
        <v>0.97603522033475942</v>
      </c>
      <c r="E30" s="55">
        <f>C30*12</f>
        <v>28200</v>
      </c>
    </row>
    <row r="31" spans="1:5" ht="15.6" x14ac:dyDescent="0.3">
      <c r="A31" s="57" t="s">
        <v>37</v>
      </c>
      <c r="B31" s="2" t="s">
        <v>30</v>
      </c>
      <c r="C31" s="7">
        <f>D31*C7</f>
        <v>216.69299999999998</v>
      </c>
      <c r="D31" s="2">
        <v>0.09</v>
      </c>
      <c r="E31" s="7">
        <f>C31*12</f>
        <v>2600.3159999999998</v>
      </c>
    </row>
    <row r="32" spans="1:5" ht="15.6" x14ac:dyDescent="0.3">
      <c r="A32" s="57" t="s">
        <v>38</v>
      </c>
      <c r="B32" s="2" t="s">
        <v>40</v>
      </c>
      <c r="C32" s="7">
        <f>D32*C7</f>
        <v>72.230999999999995</v>
      </c>
      <c r="D32" s="2">
        <v>0.03</v>
      </c>
      <c r="E32" s="7">
        <f>C32*12</f>
        <v>866.77199999999993</v>
      </c>
    </row>
    <row r="33" spans="1:5" ht="15.6" x14ac:dyDescent="0.3">
      <c r="A33" s="57" t="s">
        <v>39</v>
      </c>
      <c r="B33" s="2" t="s">
        <v>41</v>
      </c>
      <c r="C33" s="7">
        <f>D33*C7</f>
        <v>1613.1589999999999</v>
      </c>
      <c r="D33" s="2">
        <v>0.67</v>
      </c>
      <c r="E33" s="7">
        <f>C33*12</f>
        <v>19357.907999999999</v>
      </c>
    </row>
    <row r="34" spans="1:5" ht="31.2" x14ac:dyDescent="0.3">
      <c r="A34" s="65" t="s">
        <v>42</v>
      </c>
      <c r="B34" s="18" t="s">
        <v>43</v>
      </c>
      <c r="C34" s="22">
        <f>SUM(C35:C40)</f>
        <v>6849.3289999999997</v>
      </c>
      <c r="D34" s="22">
        <f>SUM(D35:D40)</f>
        <v>2.8447601445362789</v>
      </c>
      <c r="E34" s="22">
        <f>SUM(E35:E40)</f>
        <v>82191.947999999989</v>
      </c>
    </row>
    <row r="35" spans="1:5" ht="27" x14ac:dyDescent="0.3">
      <c r="A35" s="57" t="s">
        <v>44</v>
      </c>
      <c r="B35" s="12" t="s">
        <v>73</v>
      </c>
      <c r="C35" s="7">
        <f>D35*C7</f>
        <v>6091.4809999999989</v>
      </c>
      <c r="D35" s="2">
        <v>2.5299999999999998</v>
      </c>
      <c r="E35" s="7">
        <f>C35*12</f>
        <v>73097.771999999983</v>
      </c>
    </row>
    <row r="36" spans="1:5" ht="15.6" x14ac:dyDescent="0.3">
      <c r="A36" s="57" t="s">
        <v>46</v>
      </c>
      <c r="B36" s="58" t="s">
        <v>45</v>
      </c>
      <c r="C36" s="54">
        <f>D36*C7</f>
        <v>216.69299999999998</v>
      </c>
      <c r="D36" s="55">
        <v>0.09</v>
      </c>
      <c r="E36" s="54">
        <f t="shared" ref="E36:E40" si="1">C36*12</f>
        <v>2600.3159999999998</v>
      </c>
    </row>
    <row r="37" spans="1:5" ht="15.6" x14ac:dyDescent="0.3">
      <c r="A37" s="57" t="s">
        <v>47</v>
      </c>
      <c r="B37" s="55" t="s">
        <v>48</v>
      </c>
      <c r="C37" s="54">
        <f>D37*C7</f>
        <v>48.153999999999996</v>
      </c>
      <c r="D37" s="55">
        <v>0.02</v>
      </c>
      <c r="E37" s="54">
        <f t="shared" si="1"/>
        <v>577.84799999999996</v>
      </c>
    </row>
    <row r="38" spans="1:5" ht="15.6" x14ac:dyDescent="0.3">
      <c r="A38" s="57" t="s">
        <v>49</v>
      </c>
      <c r="B38" s="55" t="s">
        <v>50</v>
      </c>
      <c r="C38" s="54">
        <f>D38*C7</f>
        <v>72.230999999999995</v>
      </c>
      <c r="D38" s="55">
        <v>0.03</v>
      </c>
      <c r="E38" s="54">
        <f t="shared" si="1"/>
        <v>866.77199999999993</v>
      </c>
    </row>
    <row r="39" spans="1:5" ht="15.6" x14ac:dyDescent="0.3">
      <c r="A39" s="57" t="s">
        <v>51</v>
      </c>
      <c r="B39" s="55" t="s">
        <v>52</v>
      </c>
      <c r="C39" s="59">
        <f>E39/12</f>
        <v>180</v>
      </c>
      <c r="D39" s="59">
        <f>C39/C7</f>
        <v>7.4760144536279438E-2</v>
      </c>
      <c r="E39" s="59">
        <f>C8*4*2</f>
        <v>2160</v>
      </c>
    </row>
    <row r="40" spans="1:5" ht="15.6" x14ac:dyDescent="0.3">
      <c r="A40" s="24" t="s">
        <v>53</v>
      </c>
      <c r="B40" s="55" t="s">
        <v>30</v>
      </c>
      <c r="C40" s="54">
        <f>D40*C7</f>
        <v>240.76999999999998</v>
      </c>
      <c r="D40" s="55">
        <v>0.1</v>
      </c>
      <c r="E40" s="54">
        <f t="shared" si="1"/>
        <v>2889.24</v>
      </c>
    </row>
    <row r="41" spans="1:5" ht="17.399999999999999" x14ac:dyDescent="0.3">
      <c r="A41" s="26" t="s">
        <v>68</v>
      </c>
      <c r="B41" s="16" t="s">
        <v>59</v>
      </c>
      <c r="C41" s="22">
        <f>D41*C7</f>
        <v>3832.9509333333381</v>
      </c>
      <c r="D41" s="22">
        <f>C9-D16-D23</f>
        <v>1.5919553654248197</v>
      </c>
      <c r="E41" s="22">
        <f>C41*12</f>
        <v>45995.41120000006</v>
      </c>
    </row>
    <row r="42" spans="1:5" ht="15.6" x14ac:dyDescent="0.3">
      <c r="A42" s="24" t="s">
        <v>77</v>
      </c>
      <c r="B42" s="2" t="s">
        <v>78</v>
      </c>
      <c r="C42" s="7">
        <f>E42/12</f>
        <v>70.13666666666667</v>
      </c>
      <c r="D42" s="7">
        <f>C42/C7</f>
        <v>2.913015187384918E-2</v>
      </c>
      <c r="E42" s="55">
        <v>841.64</v>
      </c>
    </row>
    <row r="43" spans="1:5" ht="15.6" x14ac:dyDescent="0.3">
      <c r="A43" s="24" t="s">
        <v>79</v>
      </c>
      <c r="B43" s="2" t="s">
        <v>144</v>
      </c>
      <c r="C43" s="7">
        <f>E43/12</f>
        <v>1262.8141666666668</v>
      </c>
      <c r="D43" s="7">
        <f>C43/C7</f>
        <v>0.52448983123589599</v>
      </c>
      <c r="E43" s="55">
        <v>15153.77</v>
      </c>
    </row>
    <row r="44" spans="1:5" ht="31.2" x14ac:dyDescent="0.3">
      <c r="A44" s="85" t="s">
        <v>80</v>
      </c>
      <c r="B44" s="86" t="s">
        <v>143</v>
      </c>
      <c r="C44" s="87">
        <f>E44/12</f>
        <v>2500</v>
      </c>
      <c r="D44" s="87">
        <f>C44/C7</f>
        <v>1.0383353407816589</v>
      </c>
      <c r="E44" s="88">
        <v>30000</v>
      </c>
    </row>
    <row r="45" spans="1:5" ht="15.6" x14ac:dyDescent="0.3">
      <c r="A45" s="24" t="s">
        <v>81</v>
      </c>
      <c r="B45" s="46"/>
      <c r="C45" s="7">
        <f t="shared" ref="C45:C50" si="2">E45/12</f>
        <v>0</v>
      </c>
      <c r="D45" s="7">
        <f>C45/C10</f>
        <v>0</v>
      </c>
      <c r="E45" s="55"/>
    </row>
    <row r="46" spans="1:5" ht="15.6" x14ac:dyDescent="0.3">
      <c r="A46" s="24" t="s">
        <v>82</v>
      </c>
      <c r="B46" s="2"/>
      <c r="C46" s="7">
        <f>E46/12</f>
        <v>0</v>
      </c>
      <c r="D46" s="7">
        <f>C46/C7</f>
        <v>0</v>
      </c>
      <c r="E46" s="55"/>
    </row>
    <row r="47" spans="1:5" ht="15.6" x14ac:dyDescent="0.3">
      <c r="A47" s="24" t="s">
        <v>83</v>
      </c>
      <c r="B47" s="2"/>
      <c r="C47" s="7">
        <f t="shared" si="2"/>
        <v>0</v>
      </c>
      <c r="D47" s="7">
        <f>C47/C7</f>
        <v>0</v>
      </c>
      <c r="E47" s="55"/>
    </row>
    <row r="48" spans="1:5" ht="15.6" x14ac:dyDescent="0.3">
      <c r="A48" s="24" t="s">
        <v>132</v>
      </c>
      <c r="B48" s="2"/>
      <c r="C48" s="7">
        <f t="shared" si="2"/>
        <v>0</v>
      </c>
      <c r="D48" s="7">
        <f>C48/C13</f>
        <v>0</v>
      </c>
      <c r="E48" s="55"/>
    </row>
    <row r="49" spans="1:5" ht="15.6" x14ac:dyDescent="0.3">
      <c r="A49" s="38" t="s">
        <v>133</v>
      </c>
      <c r="B49" s="2"/>
      <c r="C49" s="7">
        <f t="shared" si="2"/>
        <v>0</v>
      </c>
      <c r="D49" s="7">
        <f>C49/C7</f>
        <v>0</v>
      </c>
      <c r="E49" s="55"/>
    </row>
    <row r="50" spans="1:5" ht="15.6" x14ac:dyDescent="0.3">
      <c r="A50" s="24" t="s">
        <v>134</v>
      </c>
      <c r="B50" s="2"/>
      <c r="C50" s="7">
        <f t="shared" si="2"/>
        <v>0</v>
      </c>
      <c r="D50" s="7">
        <f>C50/C7</f>
        <v>0</v>
      </c>
      <c r="E50" s="55"/>
    </row>
    <row r="51" spans="1:5" ht="15.6" x14ac:dyDescent="0.3">
      <c r="A51" s="24"/>
      <c r="B51" s="2"/>
      <c r="C51" s="7"/>
      <c r="D51" s="7"/>
      <c r="E51" s="55"/>
    </row>
    <row r="52" spans="1:5" ht="15.6" x14ac:dyDescent="0.3">
      <c r="A52" s="24"/>
      <c r="B52" s="2"/>
      <c r="C52" s="7"/>
      <c r="D52" s="7"/>
      <c r="E52" s="55"/>
    </row>
    <row r="53" spans="1:5" ht="15.6" x14ac:dyDescent="0.3">
      <c r="A53" s="24"/>
      <c r="B53" s="2"/>
      <c r="C53" s="7"/>
      <c r="D53" s="7"/>
      <c r="E53" s="55"/>
    </row>
    <row r="54" spans="1:5" ht="15.6" x14ac:dyDescent="0.3">
      <c r="A54" s="24"/>
      <c r="B54" s="2"/>
      <c r="C54" s="7"/>
      <c r="D54" s="7"/>
      <c r="E54" s="55"/>
    </row>
    <row r="55" spans="1:5" ht="15.6" x14ac:dyDescent="0.3">
      <c r="A55" s="24"/>
      <c r="B55" s="2"/>
      <c r="C55" s="7"/>
      <c r="D55" s="7"/>
      <c r="E55" s="55"/>
    </row>
    <row r="56" spans="1:5" ht="15.6" x14ac:dyDescent="0.3">
      <c r="A56" s="24"/>
      <c r="B56" s="40" t="s">
        <v>70</v>
      </c>
      <c r="C56" s="41">
        <f>SUM(C42:C55)</f>
        <v>3832.9508333333333</v>
      </c>
      <c r="D56" s="41">
        <f>SUM(D42:D55)</f>
        <v>1.5919553238914039</v>
      </c>
      <c r="E56" s="40">
        <f>SUM(E42:E55)</f>
        <v>45995.41</v>
      </c>
    </row>
    <row r="57" spans="1:5" ht="15.6" x14ac:dyDescent="0.3">
      <c r="A57" s="31"/>
      <c r="B57" s="32" t="s">
        <v>60</v>
      </c>
      <c r="C57" s="30">
        <f>D57*C7</f>
        <v>26484.699999999997</v>
      </c>
      <c r="D57" s="30">
        <f>D41+D23+D16</f>
        <v>11</v>
      </c>
      <c r="E57" s="30">
        <f>C57*12</f>
        <v>317816.39999999997</v>
      </c>
    </row>
    <row r="58" spans="1:5" ht="15.6" x14ac:dyDescent="0.3">
      <c r="A58" s="31" t="s">
        <v>69</v>
      </c>
      <c r="B58" s="16" t="s">
        <v>65</v>
      </c>
      <c r="C58" s="16">
        <f>D58*C7</f>
        <v>1500</v>
      </c>
      <c r="D58" s="22">
        <f>C10/C7/12</f>
        <v>0.62300120446899532</v>
      </c>
      <c r="E58" s="16">
        <f>C58*12</f>
        <v>18000</v>
      </c>
    </row>
    <row r="59" spans="1:5" ht="15.6" x14ac:dyDescent="0.3">
      <c r="A59" s="24" t="s">
        <v>74</v>
      </c>
      <c r="B59" s="55" t="s">
        <v>72</v>
      </c>
      <c r="C59" s="76">
        <f>E59/12</f>
        <v>1500</v>
      </c>
      <c r="D59" s="54">
        <f>C59/C7</f>
        <v>0.62300120446899532</v>
      </c>
      <c r="E59" s="55">
        <v>18000</v>
      </c>
    </row>
    <row r="60" spans="1:5" ht="15.6" x14ac:dyDescent="0.3">
      <c r="A60" s="24" t="s">
        <v>75</v>
      </c>
      <c r="B60" s="55"/>
      <c r="C60" s="76"/>
      <c r="D60" s="54"/>
      <c r="E60" s="55"/>
    </row>
    <row r="61" spans="1:5" ht="15.6" x14ac:dyDescent="0.3">
      <c r="A61" s="24"/>
      <c r="B61" s="55"/>
      <c r="C61" s="76"/>
      <c r="D61" s="54"/>
      <c r="E61" s="55"/>
    </row>
    <row r="62" spans="1:5" ht="15.6" x14ac:dyDescent="0.3">
      <c r="A62" s="4"/>
      <c r="B62" s="42" t="s">
        <v>70</v>
      </c>
      <c r="C62" s="42"/>
      <c r="D62" s="43">
        <f>SUM(D59:D61)</f>
        <v>0.62300120446899532</v>
      </c>
      <c r="E62" s="42"/>
    </row>
    <row r="63" spans="1:5" ht="12.75" customHeight="1" x14ac:dyDescent="0.3">
      <c r="A63" s="119" t="s">
        <v>166</v>
      </c>
      <c r="B63" s="120"/>
      <c r="C63" s="120"/>
      <c r="D63" s="120"/>
      <c r="E63" s="121"/>
    </row>
    <row r="64" spans="1:5" x14ac:dyDescent="0.3">
      <c r="A64" s="122"/>
      <c r="B64" s="123"/>
      <c r="C64" s="123"/>
      <c r="D64" s="123"/>
      <c r="E64" s="124"/>
    </row>
    <row r="65" spans="1:5" x14ac:dyDescent="0.3">
      <c r="A65" s="122"/>
      <c r="B65" s="123"/>
      <c r="C65" s="123"/>
      <c r="D65" s="123"/>
      <c r="E65" s="124"/>
    </row>
    <row r="66" spans="1:5" x14ac:dyDescent="0.3">
      <c r="A66" s="125"/>
      <c r="B66" s="126"/>
      <c r="C66" s="126"/>
      <c r="D66" s="126"/>
      <c r="E66" s="127"/>
    </row>
    <row r="67" spans="1:5" ht="42" customHeight="1" x14ac:dyDescent="0.3">
      <c r="A67" s="114" t="s">
        <v>167</v>
      </c>
      <c r="B67" s="115"/>
      <c r="C67" s="3"/>
      <c r="D67" s="3"/>
      <c r="E67" s="3"/>
    </row>
  </sheetData>
  <mergeCells count="18">
    <mergeCell ref="A7:B7"/>
    <mergeCell ref="C7:E7"/>
    <mergeCell ref="A2:E4"/>
    <mergeCell ref="A5:B5"/>
    <mergeCell ref="C5:E5"/>
    <mergeCell ref="A6:B6"/>
    <mergeCell ref="C6:E6"/>
    <mergeCell ref="A8:B8"/>
    <mergeCell ref="C8:E8"/>
    <mergeCell ref="A9:B9"/>
    <mergeCell ref="C9:E9"/>
    <mergeCell ref="A10:B10"/>
    <mergeCell ref="C10:E10"/>
    <mergeCell ref="A63:E66"/>
    <mergeCell ref="A67:B67"/>
    <mergeCell ref="A13:B13"/>
    <mergeCell ref="C13:E13"/>
    <mergeCell ref="A14:E1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67"/>
  <sheetViews>
    <sheetView topLeftCell="A44" workbookViewId="0">
      <selection activeCell="K58" sqref="K58"/>
    </sheetView>
  </sheetViews>
  <sheetFormatPr defaultRowHeight="13.8" x14ac:dyDescent="0.3"/>
  <cols>
    <col min="1" max="1" width="8.5546875" style="29" customWidth="1"/>
    <col min="2" max="2" width="51.88671875" customWidth="1"/>
    <col min="3" max="3" width="11.6640625" customWidth="1"/>
    <col min="4" max="4" width="11.88671875" customWidth="1"/>
    <col min="5" max="5" width="12.33203125" customWidth="1"/>
  </cols>
  <sheetData>
    <row r="2" spans="1:5" x14ac:dyDescent="0.3">
      <c r="A2" s="102" t="s">
        <v>87</v>
      </c>
      <c r="B2" s="102"/>
      <c r="C2" s="102"/>
      <c r="D2" s="102"/>
      <c r="E2" s="102"/>
    </row>
    <row r="3" spans="1:5" x14ac:dyDescent="0.3">
      <c r="A3" s="102"/>
      <c r="B3" s="102"/>
      <c r="C3" s="102"/>
      <c r="D3" s="102"/>
      <c r="E3" s="102"/>
    </row>
    <row r="4" spans="1:5" x14ac:dyDescent="0.3">
      <c r="A4" s="103"/>
      <c r="B4" s="103"/>
      <c r="C4" s="103"/>
      <c r="D4" s="103"/>
      <c r="E4" s="103"/>
    </row>
    <row r="5" spans="1:5" ht="15.6" x14ac:dyDescent="0.3">
      <c r="A5" s="97" t="s">
        <v>0</v>
      </c>
      <c r="B5" s="98"/>
      <c r="C5" s="97" t="s">
        <v>88</v>
      </c>
      <c r="D5" s="104"/>
      <c r="E5" s="98"/>
    </row>
    <row r="6" spans="1:5" ht="15.6" x14ac:dyDescent="0.3">
      <c r="A6" s="97" t="s">
        <v>2</v>
      </c>
      <c r="B6" s="98"/>
      <c r="C6" s="133">
        <v>3</v>
      </c>
      <c r="D6" s="134"/>
      <c r="E6" s="135"/>
    </row>
    <row r="7" spans="1:5" ht="15.6" x14ac:dyDescent="0.3">
      <c r="A7" s="97" t="s">
        <v>3</v>
      </c>
      <c r="B7" s="98"/>
      <c r="C7" s="133">
        <v>2121.8000000000002</v>
      </c>
      <c r="D7" s="134"/>
      <c r="E7" s="135"/>
    </row>
    <row r="8" spans="1:5" ht="15.6" x14ac:dyDescent="0.3">
      <c r="A8" s="97" t="s">
        <v>4</v>
      </c>
      <c r="B8" s="98"/>
      <c r="C8" s="133">
        <v>424</v>
      </c>
      <c r="D8" s="134"/>
      <c r="E8" s="135"/>
    </row>
    <row r="9" spans="1:5" ht="15.6" x14ac:dyDescent="0.3">
      <c r="A9" s="97" t="s">
        <v>5</v>
      </c>
      <c r="B9" s="98"/>
      <c r="C9" s="133">
        <v>9.3699999999999992</v>
      </c>
      <c r="D9" s="134"/>
      <c r="E9" s="135"/>
    </row>
    <row r="10" spans="1:5" ht="15.6" x14ac:dyDescent="0.3">
      <c r="A10" s="97" t="s">
        <v>6</v>
      </c>
      <c r="B10" s="98"/>
      <c r="C10" s="133">
        <v>22200</v>
      </c>
      <c r="D10" s="134"/>
      <c r="E10" s="135"/>
    </row>
    <row r="11" spans="1:5" ht="15.6" x14ac:dyDescent="0.3">
      <c r="A11" s="47"/>
      <c r="B11" s="48" t="s">
        <v>56</v>
      </c>
      <c r="C11" s="68"/>
      <c r="D11" s="70">
        <f>C7*C9</f>
        <v>19881.266</v>
      </c>
      <c r="E11" s="69"/>
    </row>
    <row r="12" spans="1:5" ht="15.6" x14ac:dyDescent="0.3">
      <c r="A12" s="47"/>
      <c r="B12" s="48" t="s">
        <v>64</v>
      </c>
      <c r="C12" s="68"/>
      <c r="D12" s="70">
        <f>D11+(C10/12)</f>
        <v>21731.266</v>
      </c>
      <c r="E12" s="69"/>
    </row>
    <row r="13" spans="1:5" ht="15.6" x14ac:dyDescent="0.3">
      <c r="A13" s="97" t="s">
        <v>7</v>
      </c>
      <c r="B13" s="98"/>
      <c r="C13" s="128">
        <f>(C7*C9*12)+C10</f>
        <v>260775.19199999998</v>
      </c>
      <c r="D13" s="129"/>
      <c r="E13" s="130"/>
    </row>
    <row r="14" spans="1:5" ht="15.6" x14ac:dyDescent="0.3">
      <c r="A14" s="97" t="s">
        <v>8</v>
      </c>
      <c r="B14" s="104"/>
      <c r="C14" s="104"/>
      <c r="D14" s="104"/>
      <c r="E14" s="98"/>
    </row>
    <row r="15" spans="1:5" ht="46.8" x14ac:dyDescent="0.3">
      <c r="A15" s="4"/>
      <c r="B15" s="10" t="s">
        <v>12</v>
      </c>
      <c r="C15" s="10" t="s">
        <v>13</v>
      </c>
      <c r="D15" s="11" t="s">
        <v>14</v>
      </c>
      <c r="E15" s="10" t="s">
        <v>15</v>
      </c>
    </row>
    <row r="16" spans="1:5" ht="18" x14ac:dyDescent="0.35">
      <c r="A16" s="23">
        <v>1</v>
      </c>
      <c r="B16" s="14" t="s">
        <v>9</v>
      </c>
      <c r="C16" s="21">
        <f>C17+C18</f>
        <v>4322.7637520000007</v>
      </c>
      <c r="D16" s="21">
        <f>D17+D18</f>
        <v>2.139728726552927</v>
      </c>
      <c r="E16" s="21">
        <f>E17+E18</f>
        <v>51873.165024000002</v>
      </c>
    </row>
    <row r="17" spans="1:5" ht="15.6" x14ac:dyDescent="0.3">
      <c r="A17" s="24" t="s">
        <v>10</v>
      </c>
      <c r="B17" s="8" t="s">
        <v>11</v>
      </c>
      <c r="C17" s="54">
        <f>(D11*13.8%)+(C10*13.8%/12)</f>
        <v>2998.9147080000002</v>
      </c>
      <c r="D17" s="54">
        <f>C17/C7</f>
        <v>1.4133823678009236</v>
      </c>
      <c r="E17" s="54">
        <f>C17*12</f>
        <v>35986.976496000003</v>
      </c>
    </row>
    <row r="18" spans="1:5" ht="15.6" x14ac:dyDescent="0.3">
      <c r="A18" s="4" t="s">
        <v>16</v>
      </c>
      <c r="B18" s="8" t="s">
        <v>17</v>
      </c>
      <c r="C18" s="62">
        <f>SUM(C19:C21)</f>
        <v>1323.849044</v>
      </c>
      <c r="D18" s="62">
        <f>SUM(D19:D22)</f>
        <v>0.72634635875200315</v>
      </c>
      <c r="E18" s="62">
        <f t="shared" ref="E18" si="0">SUM(E19:E21)</f>
        <v>15886.188528000002</v>
      </c>
    </row>
    <row r="19" spans="1:5" ht="15.6" x14ac:dyDescent="0.3">
      <c r="A19" s="24" t="s">
        <v>18</v>
      </c>
      <c r="B19" s="8" t="s">
        <v>19</v>
      </c>
      <c r="C19" s="54">
        <f>E19/12</f>
        <v>75</v>
      </c>
      <c r="D19" s="54">
        <f>C19/C7</f>
        <v>3.5347346592515788E-2</v>
      </c>
      <c r="E19" s="54">
        <v>900</v>
      </c>
    </row>
    <row r="20" spans="1:5" ht="42" x14ac:dyDescent="0.3">
      <c r="A20" s="24" t="s">
        <v>20</v>
      </c>
      <c r="B20" s="13" t="s">
        <v>21</v>
      </c>
      <c r="C20" s="54">
        <f>D20*C7</f>
        <v>572.88600000000008</v>
      </c>
      <c r="D20" s="55">
        <v>0.27</v>
      </c>
      <c r="E20" s="54">
        <f>C20*12</f>
        <v>6874.6320000000014</v>
      </c>
    </row>
    <row r="21" spans="1:5" ht="15.6" x14ac:dyDescent="0.3">
      <c r="A21" s="24" t="s">
        <v>22</v>
      </c>
      <c r="B21" s="8" t="s">
        <v>23</v>
      </c>
      <c r="C21" s="7">
        <f>D11*3.4%</f>
        <v>675.96304400000008</v>
      </c>
      <c r="D21" s="7">
        <f>C21/C7</f>
        <v>0.31858000000000003</v>
      </c>
      <c r="E21" s="7">
        <f>C21*12</f>
        <v>8111.556528000001</v>
      </c>
    </row>
    <row r="22" spans="1:5" ht="15.6" x14ac:dyDescent="0.3">
      <c r="A22" s="24" t="s">
        <v>66</v>
      </c>
      <c r="B22" s="8" t="s">
        <v>67</v>
      </c>
      <c r="C22" s="7">
        <f>E22/12</f>
        <v>217.31265999999997</v>
      </c>
      <c r="D22" s="7">
        <f>C22/C7</f>
        <v>0.1024190121594872</v>
      </c>
      <c r="E22" s="7">
        <f>C13*1%</f>
        <v>2607.7519199999997</v>
      </c>
    </row>
    <row r="23" spans="1:5" ht="18" x14ac:dyDescent="0.35">
      <c r="A23" s="25" t="s">
        <v>24</v>
      </c>
      <c r="B23" s="14" t="s">
        <v>25</v>
      </c>
      <c r="C23" s="21">
        <f>C24+C27+C33</f>
        <v>14387.438666666669</v>
      </c>
      <c r="D23" s="21">
        <f>D24+D27+D33</f>
        <v>6.7807704150563977</v>
      </c>
      <c r="E23" s="21">
        <f>E24+E27+E33</f>
        <v>172649.26400000002</v>
      </c>
    </row>
    <row r="24" spans="1:5" ht="17.399999999999999" x14ac:dyDescent="0.3">
      <c r="A24" s="26" t="s">
        <v>26</v>
      </c>
      <c r="B24" s="15" t="s">
        <v>27</v>
      </c>
      <c r="C24" s="22">
        <f>SUM(C25:C26)</f>
        <v>488.01400000000007</v>
      </c>
      <c r="D24" s="22">
        <f>SUM(D25:D26)</f>
        <v>0.22999999999999998</v>
      </c>
      <c r="E24" s="22">
        <f>SUM(E25:E26)</f>
        <v>5856.1680000000006</v>
      </c>
    </row>
    <row r="25" spans="1:5" ht="15.6" x14ac:dyDescent="0.3">
      <c r="A25" s="24" t="s">
        <v>28</v>
      </c>
      <c r="B25" s="13" t="s">
        <v>61</v>
      </c>
      <c r="C25" s="7">
        <f>D25*C7</f>
        <v>381.92400000000004</v>
      </c>
      <c r="D25" s="2">
        <v>0.18</v>
      </c>
      <c r="E25" s="7">
        <f>C25*12</f>
        <v>4583.0880000000006</v>
      </c>
    </row>
    <row r="26" spans="1:5" ht="15.6" x14ac:dyDescent="0.3">
      <c r="A26" s="24" t="s">
        <v>29</v>
      </c>
      <c r="B26" s="2" t="s">
        <v>30</v>
      </c>
      <c r="C26" s="7">
        <f>D26*C7</f>
        <v>106.09000000000002</v>
      </c>
      <c r="D26" s="2">
        <v>0.05</v>
      </c>
      <c r="E26" s="7">
        <f>C26*12</f>
        <v>1273.0800000000002</v>
      </c>
    </row>
    <row r="27" spans="1:5" ht="17.399999999999999" x14ac:dyDescent="0.3">
      <c r="A27" s="65" t="s">
        <v>32</v>
      </c>
      <c r="B27" s="17" t="s">
        <v>33</v>
      </c>
      <c r="C27" s="22">
        <f>SUM(C28:C32)</f>
        <v>7739.3720000000012</v>
      </c>
      <c r="D27" s="22">
        <f>SUM(D28:D32)</f>
        <v>3.6475501932321608</v>
      </c>
      <c r="E27" s="22">
        <f>SUM(E28:E32)</f>
        <v>92872.464000000007</v>
      </c>
    </row>
    <row r="28" spans="1:5" ht="15.6" x14ac:dyDescent="0.3">
      <c r="A28" s="57" t="s">
        <v>34</v>
      </c>
      <c r="B28" s="13" t="s">
        <v>62</v>
      </c>
      <c r="C28" s="7">
        <f>D28*C7</f>
        <v>3713.1500000000005</v>
      </c>
      <c r="D28" s="2">
        <v>1.75</v>
      </c>
      <c r="E28" s="7">
        <f>C28*12</f>
        <v>44557.8</v>
      </c>
    </row>
    <row r="29" spans="1:5" ht="15.6" x14ac:dyDescent="0.3">
      <c r="A29" s="57" t="s">
        <v>35</v>
      </c>
      <c r="B29" s="55" t="s">
        <v>36</v>
      </c>
      <c r="C29" s="55">
        <v>2350</v>
      </c>
      <c r="D29" s="54">
        <f>C29/C7</f>
        <v>1.1075501932321612</v>
      </c>
      <c r="E29" s="55">
        <f>C29*12</f>
        <v>28200</v>
      </c>
    </row>
    <row r="30" spans="1:5" ht="15.6" x14ac:dyDescent="0.3">
      <c r="A30" s="57" t="s">
        <v>37</v>
      </c>
      <c r="B30" s="55" t="s">
        <v>30</v>
      </c>
      <c r="C30" s="54">
        <f>D30*C7</f>
        <v>190.96200000000002</v>
      </c>
      <c r="D30" s="55">
        <v>0.09</v>
      </c>
      <c r="E30" s="54">
        <f>C30*12</f>
        <v>2291.5440000000003</v>
      </c>
    </row>
    <row r="31" spans="1:5" ht="15.6" x14ac:dyDescent="0.3">
      <c r="A31" s="57" t="s">
        <v>38</v>
      </c>
      <c r="B31" s="2" t="s">
        <v>40</v>
      </c>
      <c r="C31" s="7">
        <f>D31*C7</f>
        <v>63.654000000000003</v>
      </c>
      <c r="D31" s="2">
        <v>0.03</v>
      </c>
      <c r="E31" s="7">
        <f>C31*12</f>
        <v>763.84800000000007</v>
      </c>
    </row>
    <row r="32" spans="1:5" ht="15.6" x14ac:dyDescent="0.3">
      <c r="A32" s="57" t="s">
        <v>39</v>
      </c>
      <c r="B32" s="2" t="s">
        <v>41</v>
      </c>
      <c r="C32" s="7">
        <f>D32*C7</f>
        <v>1421.6060000000002</v>
      </c>
      <c r="D32" s="2">
        <v>0.67</v>
      </c>
      <c r="E32" s="7">
        <f>C32*12</f>
        <v>17059.272000000004</v>
      </c>
    </row>
    <row r="33" spans="1:5" ht="31.2" x14ac:dyDescent="0.3">
      <c r="A33" s="65" t="s">
        <v>42</v>
      </c>
      <c r="B33" s="18" t="s">
        <v>43</v>
      </c>
      <c r="C33" s="22">
        <f>SUM(C34:C39)</f>
        <v>6160.0526666666683</v>
      </c>
      <c r="D33" s="22">
        <f>SUM(D34:D39)</f>
        <v>2.9032202218242369</v>
      </c>
      <c r="E33" s="22">
        <f>SUM(E34:E39)</f>
        <v>73920.632000000012</v>
      </c>
    </row>
    <row r="34" spans="1:5" ht="27" x14ac:dyDescent="0.3">
      <c r="A34" s="57" t="s">
        <v>44</v>
      </c>
      <c r="B34" s="12" t="s">
        <v>73</v>
      </c>
      <c r="C34" s="7">
        <f>D34*C7</f>
        <v>5368.1540000000005</v>
      </c>
      <c r="D34" s="2">
        <v>2.5299999999999998</v>
      </c>
      <c r="E34" s="7">
        <f>C34*12</f>
        <v>64417.848000000005</v>
      </c>
    </row>
    <row r="35" spans="1:5" ht="15.6" x14ac:dyDescent="0.3">
      <c r="A35" s="57" t="s">
        <v>46</v>
      </c>
      <c r="B35" s="58" t="s">
        <v>45</v>
      </c>
      <c r="C35" s="54">
        <f>D35*C7</f>
        <v>190.96200000000002</v>
      </c>
      <c r="D35" s="55">
        <v>0.09</v>
      </c>
      <c r="E35" s="54">
        <f t="shared" ref="E35:E39" si="1">C35*12</f>
        <v>2291.5440000000003</v>
      </c>
    </row>
    <row r="36" spans="1:5" ht="15.6" x14ac:dyDescent="0.3">
      <c r="A36" s="57" t="s">
        <v>47</v>
      </c>
      <c r="B36" s="55" t="s">
        <v>48</v>
      </c>
      <c r="C36" s="54">
        <f>D36*C7</f>
        <v>42.436000000000007</v>
      </c>
      <c r="D36" s="55">
        <v>0.02</v>
      </c>
      <c r="E36" s="54">
        <f t="shared" si="1"/>
        <v>509.23200000000008</v>
      </c>
    </row>
    <row r="37" spans="1:5" ht="15.6" x14ac:dyDescent="0.3">
      <c r="A37" s="57" t="s">
        <v>49</v>
      </c>
      <c r="B37" s="55" t="s">
        <v>50</v>
      </c>
      <c r="C37" s="54">
        <f>D37*C7</f>
        <v>63.654000000000003</v>
      </c>
      <c r="D37" s="55">
        <v>0.03</v>
      </c>
      <c r="E37" s="54">
        <f t="shared" si="1"/>
        <v>763.84800000000007</v>
      </c>
    </row>
    <row r="38" spans="1:5" ht="15.6" x14ac:dyDescent="0.3">
      <c r="A38" s="57" t="s">
        <v>51</v>
      </c>
      <c r="B38" s="55" t="s">
        <v>52</v>
      </c>
      <c r="C38" s="59">
        <f>E38/12</f>
        <v>282.66666666666669</v>
      </c>
      <c r="D38" s="59">
        <f>C38/C7</f>
        <v>0.13322022182423729</v>
      </c>
      <c r="E38" s="59">
        <f>C8*4*2</f>
        <v>3392</v>
      </c>
    </row>
    <row r="39" spans="1:5" ht="15.6" x14ac:dyDescent="0.3">
      <c r="A39" s="57" t="s">
        <v>53</v>
      </c>
      <c r="B39" s="2" t="s">
        <v>30</v>
      </c>
      <c r="C39" s="7">
        <f>D39*C7</f>
        <v>212.18000000000004</v>
      </c>
      <c r="D39" s="2">
        <v>0.1</v>
      </c>
      <c r="E39" s="7">
        <f t="shared" si="1"/>
        <v>2546.1600000000003</v>
      </c>
    </row>
    <row r="40" spans="1:5" ht="17.399999999999999" x14ac:dyDescent="0.3">
      <c r="A40" s="26" t="s">
        <v>68</v>
      </c>
      <c r="B40" s="16" t="s">
        <v>59</v>
      </c>
      <c r="C40" s="22">
        <f>D40*C7</f>
        <v>953.75092133333339</v>
      </c>
      <c r="D40" s="22">
        <f>C9-D16-D23</f>
        <v>0.44950085839067455</v>
      </c>
      <c r="E40" s="22">
        <f>C40*12</f>
        <v>11445.011056000001</v>
      </c>
    </row>
    <row r="41" spans="1:5" ht="15.6" x14ac:dyDescent="0.3">
      <c r="A41" s="24" t="s">
        <v>77</v>
      </c>
      <c r="B41" s="2" t="s">
        <v>136</v>
      </c>
      <c r="C41" s="7">
        <f>E41/12</f>
        <v>953.75083333333339</v>
      </c>
      <c r="D41" s="7">
        <f>C41/C7</f>
        <v>0.44950081691645455</v>
      </c>
      <c r="E41" s="55">
        <v>11445.01</v>
      </c>
    </row>
    <row r="42" spans="1:5" ht="15.6" x14ac:dyDescent="0.3">
      <c r="A42" s="24" t="s">
        <v>79</v>
      </c>
      <c r="B42" s="2"/>
      <c r="C42" s="7">
        <v>0</v>
      </c>
      <c r="D42" s="7">
        <v>0</v>
      </c>
      <c r="E42" s="55"/>
    </row>
    <row r="43" spans="1:5" ht="15.6" x14ac:dyDescent="0.3">
      <c r="A43" s="24" t="s">
        <v>80</v>
      </c>
      <c r="B43" s="2"/>
      <c r="C43" s="7">
        <v>0</v>
      </c>
      <c r="D43" s="7">
        <v>0</v>
      </c>
      <c r="E43" s="55"/>
    </row>
    <row r="44" spans="1:5" ht="15.6" x14ac:dyDescent="0.3">
      <c r="A44" s="24" t="s">
        <v>81</v>
      </c>
      <c r="B44" s="2"/>
      <c r="C44" s="7">
        <f t="shared" ref="C44:C49" si="2">E44/12</f>
        <v>0</v>
      </c>
      <c r="D44" s="7">
        <f>C44/C9</f>
        <v>0</v>
      </c>
      <c r="E44" s="55"/>
    </row>
    <row r="45" spans="1:5" ht="15.6" x14ac:dyDescent="0.3">
      <c r="A45" s="24" t="s">
        <v>82</v>
      </c>
      <c r="B45" s="2"/>
      <c r="C45" s="7">
        <f>E45/12</f>
        <v>0</v>
      </c>
      <c r="D45" s="7">
        <f>C45/C6</f>
        <v>0</v>
      </c>
      <c r="E45" s="55"/>
    </row>
    <row r="46" spans="1:5" ht="15.6" x14ac:dyDescent="0.3">
      <c r="A46" s="24" t="s">
        <v>83</v>
      </c>
      <c r="B46" s="2"/>
      <c r="C46" s="7">
        <f t="shared" si="2"/>
        <v>0</v>
      </c>
      <c r="D46" s="7">
        <f>C46/C6</f>
        <v>0</v>
      </c>
      <c r="E46" s="55"/>
    </row>
    <row r="47" spans="1:5" ht="15.6" x14ac:dyDescent="0.3">
      <c r="A47" s="24" t="s">
        <v>132</v>
      </c>
      <c r="B47" s="2"/>
      <c r="C47" s="7">
        <f t="shared" si="2"/>
        <v>0</v>
      </c>
      <c r="D47" s="7">
        <f>C47/C7</f>
        <v>0</v>
      </c>
      <c r="E47" s="55"/>
    </row>
    <row r="48" spans="1:5" ht="15.6" x14ac:dyDescent="0.3">
      <c r="A48" s="38" t="s">
        <v>133</v>
      </c>
      <c r="B48" s="2"/>
      <c r="C48" s="7">
        <f t="shared" si="2"/>
        <v>0</v>
      </c>
      <c r="D48" s="7">
        <f>C48/C6</f>
        <v>0</v>
      </c>
      <c r="E48" s="55"/>
    </row>
    <row r="49" spans="1:11" ht="15.6" x14ac:dyDescent="0.3">
      <c r="A49" s="24" t="s">
        <v>134</v>
      </c>
      <c r="B49" s="2"/>
      <c r="C49" s="7">
        <f t="shared" si="2"/>
        <v>0</v>
      </c>
      <c r="D49" s="7">
        <f>C49/C6</f>
        <v>0</v>
      </c>
      <c r="E49" s="55"/>
    </row>
    <row r="50" spans="1:11" ht="15.6" x14ac:dyDescent="0.3">
      <c r="A50" s="24"/>
      <c r="B50" s="2"/>
      <c r="C50" s="7"/>
      <c r="D50" s="7"/>
      <c r="E50" s="55"/>
    </row>
    <row r="51" spans="1:11" ht="15.6" x14ac:dyDescent="0.3">
      <c r="A51" s="24"/>
      <c r="B51" s="2"/>
      <c r="C51" s="7"/>
      <c r="D51" s="7"/>
      <c r="E51" s="55"/>
    </row>
    <row r="52" spans="1:11" ht="15.6" x14ac:dyDescent="0.3">
      <c r="A52" s="24"/>
      <c r="B52" s="2"/>
      <c r="C52" s="7"/>
      <c r="D52" s="7"/>
      <c r="E52" s="55"/>
    </row>
    <row r="53" spans="1:11" ht="15.6" x14ac:dyDescent="0.3">
      <c r="A53" s="24"/>
      <c r="B53" s="2"/>
      <c r="C53" s="7"/>
      <c r="D53" s="7"/>
      <c r="E53" s="55"/>
    </row>
    <row r="54" spans="1:11" ht="15.6" x14ac:dyDescent="0.3">
      <c r="A54" s="24"/>
      <c r="B54" s="2"/>
      <c r="C54" s="7"/>
      <c r="D54" s="7"/>
      <c r="E54" s="55"/>
    </row>
    <row r="55" spans="1:11" ht="15.6" x14ac:dyDescent="0.3">
      <c r="A55" s="24"/>
      <c r="B55" s="2"/>
      <c r="C55" s="7"/>
      <c r="D55" s="7"/>
      <c r="E55" s="55"/>
    </row>
    <row r="56" spans="1:11" ht="15.6" x14ac:dyDescent="0.3">
      <c r="A56" s="24"/>
      <c r="B56" s="40" t="s">
        <v>70</v>
      </c>
      <c r="C56" s="41">
        <f>SUM(C41:C55)</f>
        <v>953.75083333333339</v>
      </c>
      <c r="D56" s="41">
        <f>SUM(D41:D55)</f>
        <v>0.44950081691645455</v>
      </c>
      <c r="E56" s="40">
        <f>SUM(E41:E55)</f>
        <v>11445.01</v>
      </c>
      <c r="K56" t="s">
        <v>91</v>
      </c>
    </row>
    <row r="57" spans="1:11" ht="15.6" x14ac:dyDescent="0.3">
      <c r="A57" s="31"/>
      <c r="B57" s="32" t="s">
        <v>60</v>
      </c>
      <c r="C57" s="30">
        <f>D57*C7</f>
        <v>19881.266</v>
      </c>
      <c r="D57" s="30">
        <f>D40+D23+D16</f>
        <v>9.3699999999999992</v>
      </c>
      <c r="E57" s="30">
        <f>C57*12</f>
        <v>238575.19199999998</v>
      </c>
    </row>
    <row r="58" spans="1:11" ht="15.6" x14ac:dyDescent="0.3">
      <c r="A58" s="31" t="s">
        <v>69</v>
      </c>
      <c r="B58" s="16" t="s">
        <v>65</v>
      </c>
      <c r="C58" s="16">
        <f>D58*C7</f>
        <v>1850</v>
      </c>
      <c r="D58" s="22">
        <f>C10/C7/12</f>
        <v>0.87190121594872272</v>
      </c>
      <c r="E58" s="16">
        <f>C58*12</f>
        <v>22200</v>
      </c>
    </row>
    <row r="59" spans="1:11" ht="15.6" x14ac:dyDescent="0.3">
      <c r="A59" s="24" t="s">
        <v>74</v>
      </c>
      <c r="B59" s="2" t="s">
        <v>72</v>
      </c>
      <c r="C59" s="39">
        <f>E59/12</f>
        <v>1850</v>
      </c>
      <c r="D59" s="7">
        <f>C59/C7</f>
        <v>0.87190121594872272</v>
      </c>
      <c r="E59" s="55">
        <v>22200</v>
      </c>
    </row>
    <row r="60" spans="1:11" ht="15.6" x14ac:dyDescent="0.3">
      <c r="A60" s="24" t="s">
        <v>75</v>
      </c>
      <c r="B60" s="2"/>
      <c r="C60" s="39"/>
      <c r="D60" s="7"/>
      <c r="E60" s="55"/>
    </row>
    <row r="61" spans="1:11" ht="15.6" x14ac:dyDescent="0.3">
      <c r="A61" s="24"/>
      <c r="B61" s="2"/>
      <c r="C61" s="39"/>
      <c r="D61" s="7"/>
      <c r="E61" s="55"/>
    </row>
    <row r="62" spans="1:11" ht="15.6" x14ac:dyDescent="0.3">
      <c r="A62" s="4"/>
      <c r="B62" s="42" t="s">
        <v>70</v>
      </c>
      <c r="C62" s="42"/>
      <c r="D62" s="43">
        <f>SUM(D59:D61)</f>
        <v>0.87190121594872272</v>
      </c>
      <c r="E62" s="42"/>
    </row>
    <row r="63" spans="1:11" x14ac:dyDescent="0.3">
      <c r="A63" s="119" t="s">
        <v>166</v>
      </c>
      <c r="B63" s="120"/>
      <c r="C63" s="120"/>
      <c r="D63" s="120"/>
      <c r="E63" s="121"/>
    </row>
    <row r="64" spans="1:11" x14ac:dyDescent="0.3">
      <c r="A64" s="122"/>
      <c r="B64" s="123"/>
      <c r="C64" s="123"/>
      <c r="D64" s="123"/>
      <c r="E64" s="124"/>
    </row>
    <row r="65" spans="1:5" x14ac:dyDescent="0.3">
      <c r="A65" s="122"/>
      <c r="B65" s="123"/>
      <c r="C65" s="123"/>
      <c r="D65" s="123"/>
      <c r="E65" s="124"/>
    </row>
    <row r="66" spans="1:5" x14ac:dyDescent="0.3">
      <c r="A66" s="125"/>
      <c r="B66" s="126"/>
      <c r="C66" s="126"/>
      <c r="D66" s="126"/>
      <c r="E66" s="127"/>
    </row>
    <row r="67" spans="1:5" ht="41.25" customHeight="1" x14ac:dyDescent="0.3">
      <c r="A67" s="114" t="s">
        <v>167</v>
      </c>
      <c r="B67" s="115"/>
      <c r="C67" s="3"/>
      <c r="D67" s="3"/>
      <c r="E67" s="3"/>
    </row>
  </sheetData>
  <mergeCells count="18">
    <mergeCell ref="A7:B7"/>
    <mergeCell ref="C7:E7"/>
    <mergeCell ref="A13:B13"/>
    <mergeCell ref="C13:E13"/>
    <mergeCell ref="A2:E4"/>
    <mergeCell ref="A5:B5"/>
    <mergeCell ref="C5:E5"/>
    <mergeCell ref="A6:B6"/>
    <mergeCell ref="C6:E6"/>
    <mergeCell ref="A63:E66"/>
    <mergeCell ref="A67:B67"/>
    <mergeCell ref="A14:E14"/>
    <mergeCell ref="A8:B8"/>
    <mergeCell ref="C8:E8"/>
    <mergeCell ref="A9:B9"/>
    <mergeCell ref="C9:E9"/>
    <mergeCell ref="A10:B10"/>
    <mergeCell ref="C10:E10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7"/>
  <sheetViews>
    <sheetView topLeftCell="A19" zoomScaleNormal="100" workbookViewId="0">
      <selection activeCell="B21" sqref="B21"/>
    </sheetView>
  </sheetViews>
  <sheetFormatPr defaultRowHeight="13.8" x14ac:dyDescent="0.3"/>
  <cols>
    <col min="1" max="1" width="9.109375" customWidth="1"/>
    <col min="2" max="2" width="50.5546875" customWidth="1"/>
    <col min="3" max="3" width="14.6640625" customWidth="1"/>
    <col min="4" max="4" width="13.88671875" customWidth="1"/>
    <col min="5" max="5" width="14.44140625" customWidth="1"/>
  </cols>
  <sheetData>
    <row r="1" spans="1:5" x14ac:dyDescent="0.3">
      <c r="A1" s="29"/>
    </row>
    <row r="2" spans="1:5" x14ac:dyDescent="0.3">
      <c r="A2" s="102" t="s">
        <v>76</v>
      </c>
      <c r="B2" s="102"/>
      <c r="C2" s="102"/>
      <c r="D2" s="102"/>
      <c r="E2" s="102"/>
    </row>
    <row r="3" spans="1:5" x14ac:dyDescent="0.3">
      <c r="A3" s="102"/>
      <c r="B3" s="102"/>
      <c r="C3" s="102"/>
      <c r="D3" s="102"/>
      <c r="E3" s="102"/>
    </row>
    <row r="4" spans="1:5" x14ac:dyDescent="0.3">
      <c r="A4" s="103"/>
      <c r="B4" s="103"/>
      <c r="C4" s="103"/>
      <c r="D4" s="103"/>
      <c r="E4" s="103"/>
    </row>
    <row r="5" spans="1:5" ht="15.6" x14ac:dyDescent="0.3">
      <c r="A5" s="97" t="s">
        <v>0</v>
      </c>
      <c r="B5" s="98"/>
      <c r="C5" s="97" t="s">
        <v>1</v>
      </c>
      <c r="D5" s="104"/>
      <c r="E5" s="98"/>
    </row>
    <row r="6" spans="1:5" ht="15.6" x14ac:dyDescent="0.3">
      <c r="A6" s="97" t="s">
        <v>2</v>
      </c>
      <c r="B6" s="98"/>
      <c r="C6" s="133">
        <v>4</v>
      </c>
      <c r="D6" s="134"/>
      <c r="E6" s="135"/>
    </row>
    <row r="7" spans="1:5" ht="15.6" x14ac:dyDescent="0.3">
      <c r="A7" s="97" t="s">
        <v>3</v>
      </c>
      <c r="B7" s="98"/>
      <c r="C7" s="133">
        <v>7513.2</v>
      </c>
      <c r="D7" s="134"/>
      <c r="E7" s="135"/>
    </row>
    <row r="8" spans="1:5" ht="15.6" x14ac:dyDescent="0.3">
      <c r="A8" s="97" t="s">
        <v>4</v>
      </c>
      <c r="B8" s="98"/>
      <c r="C8" s="133">
        <v>810</v>
      </c>
      <c r="D8" s="134"/>
      <c r="E8" s="135"/>
    </row>
    <row r="9" spans="1:5" ht="15.6" x14ac:dyDescent="0.3">
      <c r="A9" s="97" t="s">
        <v>5</v>
      </c>
      <c r="B9" s="98"/>
      <c r="C9" s="133">
        <v>10</v>
      </c>
      <c r="D9" s="134"/>
      <c r="E9" s="135"/>
    </row>
    <row r="10" spans="1:5" ht="15.6" x14ac:dyDescent="0.3">
      <c r="A10" s="97" t="s">
        <v>6</v>
      </c>
      <c r="B10" s="98"/>
      <c r="C10" s="133">
        <v>24000</v>
      </c>
      <c r="D10" s="134"/>
      <c r="E10" s="135"/>
    </row>
    <row r="11" spans="1:5" ht="15.6" x14ac:dyDescent="0.3">
      <c r="A11" s="89"/>
      <c r="B11" s="90" t="s">
        <v>56</v>
      </c>
      <c r="C11" s="89"/>
      <c r="D11" s="91">
        <f>C7*C9</f>
        <v>75132</v>
      </c>
      <c r="E11" s="90"/>
    </row>
    <row r="12" spans="1:5" ht="15.6" x14ac:dyDescent="0.3">
      <c r="A12" s="89"/>
      <c r="B12" s="90" t="s">
        <v>64</v>
      </c>
      <c r="C12" s="89"/>
      <c r="D12" s="91">
        <f>D11+(C10/12)</f>
        <v>77132</v>
      </c>
      <c r="E12" s="90"/>
    </row>
    <row r="13" spans="1:5" ht="15.6" x14ac:dyDescent="0.3">
      <c r="A13" s="97" t="s">
        <v>7</v>
      </c>
      <c r="B13" s="98"/>
      <c r="C13" s="97">
        <f>(C7*C9*12)+C10</f>
        <v>925584</v>
      </c>
      <c r="D13" s="104"/>
      <c r="E13" s="98"/>
    </row>
    <row r="14" spans="1:5" ht="15.6" x14ac:dyDescent="0.3">
      <c r="A14" s="97" t="s">
        <v>8</v>
      </c>
      <c r="B14" s="104"/>
      <c r="C14" s="104"/>
      <c r="D14" s="104"/>
      <c r="E14" s="98"/>
    </row>
    <row r="15" spans="1:5" ht="30" customHeight="1" x14ac:dyDescent="0.3">
      <c r="A15" s="4"/>
      <c r="B15" s="10" t="s">
        <v>12</v>
      </c>
      <c r="C15" s="10" t="s">
        <v>13</v>
      </c>
      <c r="D15" s="11" t="s">
        <v>14</v>
      </c>
      <c r="E15" s="10" t="s">
        <v>15</v>
      </c>
    </row>
    <row r="16" spans="1:5" ht="18" x14ac:dyDescent="0.35">
      <c r="A16" s="23">
        <v>1</v>
      </c>
      <c r="B16" s="14" t="s">
        <v>9</v>
      </c>
      <c r="C16" s="21">
        <f>C17+C18</f>
        <v>20443.184666666668</v>
      </c>
      <c r="D16" s="21">
        <f>D17+D18</f>
        <v>2.8236310316065945</v>
      </c>
      <c r="E16" s="21">
        <f>E17+E18</f>
        <v>245318.21600000001</v>
      </c>
    </row>
    <row r="17" spans="1:5" ht="15.6" x14ac:dyDescent="0.3">
      <c r="A17" s="24" t="s">
        <v>10</v>
      </c>
      <c r="B17" s="8" t="s">
        <v>11</v>
      </c>
      <c r="C17" s="54">
        <f>(D11*13.8%)+(C10*13.8%/12)</f>
        <v>10644.216</v>
      </c>
      <c r="D17" s="54">
        <f>C17/C7</f>
        <v>1.4167353457914071</v>
      </c>
      <c r="E17" s="54">
        <f>C17*12</f>
        <v>127730.592</v>
      </c>
    </row>
    <row r="18" spans="1:5" ht="15.6" x14ac:dyDescent="0.3">
      <c r="A18" s="4" t="s">
        <v>16</v>
      </c>
      <c r="B18" s="8" t="s">
        <v>17</v>
      </c>
      <c r="C18" s="62">
        <f>SUM(C19:C21)</f>
        <v>9798.9686666666676</v>
      </c>
      <c r="D18" s="62">
        <f>SUM(D19:D22)</f>
        <v>1.4068956858151875</v>
      </c>
      <c r="E18" s="62">
        <f t="shared" ref="E18" si="0">SUM(E19:E21)</f>
        <v>117587.624</v>
      </c>
    </row>
    <row r="19" spans="1:5" ht="15.6" x14ac:dyDescent="0.3">
      <c r="A19" s="24" t="s">
        <v>18</v>
      </c>
      <c r="B19" s="8" t="s">
        <v>19</v>
      </c>
      <c r="C19" s="54">
        <f>E19/12</f>
        <v>5215.916666666667</v>
      </c>
      <c r="D19" s="54">
        <f>C19/C7</f>
        <v>0.69423370423610009</v>
      </c>
      <c r="E19" s="54">
        <v>62591</v>
      </c>
    </row>
    <row r="20" spans="1:5" ht="45" customHeight="1" x14ac:dyDescent="0.3">
      <c r="A20" s="24" t="s">
        <v>20</v>
      </c>
      <c r="B20" s="13" t="s">
        <v>21</v>
      </c>
      <c r="C20" s="54">
        <f>D20*C7</f>
        <v>2028.5640000000001</v>
      </c>
      <c r="D20" s="55">
        <v>0.27</v>
      </c>
      <c r="E20" s="54">
        <f>C20*12</f>
        <v>24342.768</v>
      </c>
    </row>
    <row r="21" spans="1:5" ht="15.6" x14ac:dyDescent="0.3">
      <c r="A21" s="24" t="s">
        <v>22</v>
      </c>
      <c r="B21" s="8" t="s">
        <v>23</v>
      </c>
      <c r="C21" s="7">
        <f>D11*3.4%</f>
        <v>2554.4880000000003</v>
      </c>
      <c r="D21" s="7">
        <f>C21/C7</f>
        <v>0.34</v>
      </c>
      <c r="E21" s="7">
        <f>C21*12</f>
        <v>30653.856000000003</v>
      </c>
    </row>
    <row r="22" spans="1:5" ht="15.6" x14ac:dyDescent="0.3">
      <c r="A22" s="24" t="s">
        <v>66</v>
      </c>
      <c r="B22" s="8" t="s">
        <v>67</v>
      </c>
      <c r="C22" s="7">
        <f>E22/12</f>
        <v>771.32</v>
      </c>
      <c r="D22" s="7">
        <f>C22/C7</f>
        <v>0.10266198157908749</v>
      </c>
      <c r="E22" s="7">
        <f>C13*1%</f>
        <v>9255.84</v>
      </c>
    </row>
    <row r="23" spans="1:5" ht="18" x14ac:dyDescent="0.35">
      <c r="A23" s="25" t="s">
        <v>24</v>
      </c>
      <c r="B23" s="14" t="s">
        <v>25</v>
      </c>
      <c r="C23" s="21">
        <f>C24+C28+C34</f>
        <v>48294.914666666664</v>
      </c>
      <c r="D23" s="21">
        <f>D24+D28+D34</f>
        <v>6.4280086603134023</v>
      </c>
      <c r="E23" s="21">
        <f>E24+E28+E34</f>
        <v>579538.97600000002</v>
      </c>
    </row>
    <row r="24" spans="1:5" ht="29.25" customHeight="1" x14ac:dyDescent="0.3">
      <c r="A24" s="26" t="s">
        <v>26</v>
      </c>
      <c r="B24" s="15" t="s">
        <v>27</v>
      </c>
      <c r="C24" s="22">
        <f>SUM(C25:C27)</f>
        <v>1757.2226666666668</v>
      </c>
      <c r="D24" s="22">
        <f>SUM(D25:D27)</f>
        <v>0.23388471845108164</v>
      </c>
      <c r="E24" s="22">
        <f>SUM(E25:E27)</f>
        <v>21086.672000000002</v>
      </c>
    </row>
    <row r="25" spans="1:5" ht="21.75" customHeight="1" x14ac:dyDescent="0.3">
      <c r="A25" s="57" t="s">
        <v>28</v>
      </c>
      <c r="B25" s="13" t="s">
        <v>61</v>
      </c>
      <c r="C25" s="7">
        <f>D25*C7</f>
        <v>1352.376</v>
      </c>
      <c r="D25" s="2">
        <v>0.18</v>
      </c>
      <c r="E25" s="7">
        <f>C25*12</f>
        <v>16228.511999999999</v>
      </c>
    </row>
    <row r="26" spans="1:5" ht="15.6" x14ac:dyDescent="0.3">
      <c r="A26" s="57" t="s">
        <v>29</v>
      </c>
      <c r="B26" s="55" t="s">
        <v>30</v>
      </c>
      <c r="C26" s="54">
        <f>D26*C7</f>
        <v>375.66</v>
      </c>
      <c r="D26" s="55">
        <v>0.05</v>
      </c>
      <c r="E26" s="54">
        <f>C26*12</f>
        <v>4507.92</v>
      </c>
    </row>
    <row r="27" spans="1:5" ht="15.6" x14ac:dyDescent="0.3">
      <c r="A27" s="57" t="s">
        <v>31</v>
      </c>
      <c r="B27" s="55" t="s">
        <v>57</v>
      </c>
      <c r="C27" s="54">
        <f>E27/12</f>
        <v>29.186666666666667</v>
      </c>
      <c r="D27" s="56">
        <f>C27/C7</f>
        <v>3.8847184510816522E-3</v>
      </c>
      <c r="E27" s="55">
        <f>87.56*4</f>
        <v>350.24</v>
      </c>
    </row>
    <row r="28" spans="1:5" ht="17.399999999999999" x14ac:dyDescent="0.3">
      <c r="A28" s="65" t="s">
        <v>32</v>
      </c>
      <c r="B28" s="17" t="s">
        <v>33</v>
      </c>
      <c r="C28" s="22">
        <f>SUM(C29:C33)</f>
        <v>21433.528000000002</v>
      </c>
      <c r="D28" s="22">
        <f>SUM(D29:D33)</f>
        <v>2.8527828355427776</v>
      </c>
      <c r="E28" s="22">
        <f>SUM(E29:E33)</f>
        <v>257202.33600000001</v>
      </c>
    </row>
    <row r="29" spans="1:5" ht="18" customHeight="1" x14ac:dyDescent="0.3">
      <c r="A29" s="57" t="s">
        <v>34</v>
      </c>
      <c r="B29" s="13" t="s">
        <v>62</v>
      </c>
      <c r="C29" s="7">
        <f>D29*C7</f>
        <v>13148.1</v>
      </c>
      <c r="D29" s="2">
        <v>1.75</v>
      </c>
      <c r="E29" s="7">
        <f>C29*12</f>
        <v>157777.20000000001</v>
      </c>
    </row>
    <row r="30" spans="1:5" ht="15.6" x14ac:dyDescent="0.3">
      <c r="A30" s="57" t="s">
        <v>35</v>
      </c>
      <c r="B30" s="55" t="s">
        <v>36</v>
      </c>
      <c r="C30" s="55">
        <v>2350</v>
      </c>
      <c r="D30" s="54">
        <f>C30/C7</f>
        <v>0.31278283554277803</v>
      </c>
      <c r="E30" s="2">
        <f>C30*12</f>
        <v>28200</v>
      </c>
    </row>
    <row r="31" spans="1:5" ht="15.6" x14ac:dyDescent="0.3">
      <c r="A31" s="57" t="s">
        <v>37</v>
      </c>
      <c r="B31" s="55" t="s">
        <v>30</v>
      </c>
      <c r="C31" s="54">
        <f>D31*C7</f>
        <v>676.18799999999999</v>
      </c>
      <c r="D31" s="55">
        <v>0.09</v>
      </c>
      <c r="E31" s="7">
        <f>C31*12</f>
        <v>8114.2559999999994</v>
      </c>
    </row>
    <row r="32" spans="1:5" ht="15.6" x14ac:dyDescent="0.3">
      <c r="A32" s="57" t="s">
        <v>38</v>
      </c>
      <c r="B32" s="2" t="s">
        <v>40</v>
      </c>
      <c r="C32" s="7">
        <f>D32*C7</f>
        <v>225.39599999999999</v>
      </c>
      <c r="D32" s="2">
        <v>0.03</v>
      </c>
      <c r="E32" s="7">
        <f>C32*12</f>
        <v>2704.752</v>
      </c>
    </row>
    <row r="33" spans="1:5" ht="15.6" x14ac:dyDescent="0.3">
      <c r="A33" s="57" t="s">
        <v>39</v>
      </c>
      <c r="B33" s="2" t="s">
        <v>41</v>
      </c>
      <c r="C33" s="7">
        <f>D33*C7</f>
        <v>5033.8440000000001</v>
      </c>
      <c r="D33" s="2">
        <v>0.67</v>
      </c>
      <c r="E33" s="7">
        <f>C33*12</f>
        <v>60406.127999999997</v>
      </c>
    </row>
    <row r="34" spans="1:5" ht="32.25" customHeight="1" x14ac:dyDescent="0.3">
      <c r="A34" s="65" t="s">
        <v>42</v>
      </c>
      <c r="B34" s="18" t="s">
        <v>43</v>
      </c>
      <c r="C34" s="22">
        <f>SUM(C35:C41)</f>
        <v>25104.163999999993</v>
      </c>
      <c r="D34" s="22">
        <f>SUM(D35:D41)</f>
        <v>3.3413411063195437</v>
      </c>
      <c r="E34" s="22">
        <f>SUM(E35:E41)</f>
        <v>301249.96799999999</v>
      </c>
    </row>
    <row r="35" spans="1:5" ht="27.75" customHeight="1" x14ac:dyDescent="0.3">
      <c r="A35" s="57" t="s">
        <v>44</v>
      </c>
      <c r="B35" s="12" t="s">
        <v>73</v>
      </c>
      <c r="C35" s="7">
        <f>D35*C7</f>
        <v>19008.395999999997</v>
      </c>
      <c r="D35" s="2">
        <v>2.5299999999999998</v>
      </c>
      <c r="E35" s="7">
        <f>C35*12</f>
        <v>228100.75199999998</v>
      </c>
    </row>
    <row r="36" spans="1:5" ht="15.6" x14ac:dyDescent="0.3">
      <c r="A36" s="57" t="s">
        <v>46</v>
      </c>
      <c r="B36" s="58" t="s">
        <v>45</v>
      </c>
      <c r="C36" s="54">
        <f>D36*C7</f>
        <v>676.18799999999999</v>
      </c>
      <c r="D36" s="55">
        <v>0.09</v>
      </c>
      <c r="E36" s="7">
        <f t="shared" ref="E36:E41" si="1">C36*12</f>
        <v>8114.2559999999994</v>
      </c>
    </row>
    <row r="37" spans="1:5" ht="15.6" x14ac:dyDescent="0.3">
      <c r="A37" s="57" t="s">
        <v>47</v>
      </c>
      <c r="B37" s="55" t="s">
        <v>48</v>
      </c>
      <c r="C37" s="54">
        <f>D37*C7</f>
        <v>150.26400000000001</v>
      </c>
      <c r="D37" s="55">
        <v>0.02</v>
      </c>
      <c r="E37" s="7">
        <f t="shared" si="1"/>
        <v>1803.1680000000001</v>
      </c>
    </row>
    <row r="38" spans="1:5" ht="15.6" x14ac:dyDescent="0.3">
      <c r="A38" s="57" t="s">
        <v>49</v>
      </c>
      <c r="B38" s="55" t="s">
        <v>50</v>
      </c>
      <c r="C38" s="54">
        <f>D38*C7</f>
        <v>225.39599999999999</v>
      </c>
      <c r="D38" s="55">
        <v>0.03</v>
      </c>
      <c r="E38" s="7">
        <f t="shared" si="1"/>
        <v>2704.752</v>
      </c>
    </row>
    <row r="39" spans="1:5" ht="15.6" x14ac:dyDescent="0.3">
      <c r="A39" s="57" t="s">
        <v>51</v>
      </c>
      <c r="B39" s="55" t="s">
        <v>52</v>
      </c>
      <c r="C39" s="59">
        <f>E39/12</f>
        <v>540</v>
      </c>
      <c r="D39" s="59">
        <f>C39/C7</f>
        <v>7.1873502635361769E-2</v>
      </c>
      <c r="E39" s="37">
        <f>C8*4*2</f>
        <v>6480</v>
      </c>
    </row>
    <row r="40" spans="1:5" ht="15.6" x14ac:dyDescent="0.3">
      <c r="A40" s="57" t="s">
        <v>53</v>
      </c>
      <c r="B40" s="55" t="s">
        <v>128</v>
      </c>
      <c r="C40" s="54">
        <v>3752.6</v>
      </c>
      <c r="D40" s="54">
        <f>C40/C7</f>
        <v>0.49946760368418253</v>
      </c>
      <c r="E40" s="7">
        <f t="shared" si="1"/>
        <v>45031.199999999997</v>
      </c>
    </row>
    <row r="41" spans="1:5" ht="15.6" x14ac:dyDescent="0.3">
      <c r="A41" s="57" t="s">
        <v>55</v>
      </c>
      <c r="B41" s="55" t="s">
        <v>30</v>
      </c>
      <c r="C41" s="54">
        <f>D41*C7</f>
        <v>751.32</v>
      </c>
      <c r="D41" s="55">
        <v>0.1</v>
      </c>
      <c r="E41" s="7">
        <f t="shared" si="1"/>
        <v>9015.84</v>
      </c>
    </row>
    <row r="42" spans="1:5" ht="17.399999999999999" x14ac:dyDescent="0.3">
      <c r="A42" s="26" t="s">
        <v>68</v>
      </c>
      <c r="B42" s="16" t="s">
        <v>59</v>
      </c>
      <c r="C42" s="22">
        <f>D42*C7</f>
        <v>5622.5806666666795</v>
      </c>
      <c r="D42" s="22">
        <f>C9-D16-D23</f>
        <v>0.7483603080800032</v>
      </c>
      <c r="E42" s="22">
        <f>C42*12</f>
        <v>67470.968000000154</v>
      </c>
    </row>
    <row r="43" spans="1:5" ht="15.6" x14ac:dyDescent="0.3">
      <c r="A43" s="24" t="s">
        <v>77</v>
      </c>
      <c r="B43" s="2" t="s">
        <v>78</v>
      </c>
      <c r="C43" s="7">
        <f>E43/12</f>
        <v>5622.5808333333334</v>
      </c>
      <c r="D43" s="7">
        <f>C43/C7</f>
        <v>0.74836033026318127</v>
      </c>
      <c r="E43" s="55">
        <v>67470.97</v>
      </c>
    </row>
    <row r="44" spans="1:5" ht="15.6" x14ac:dyDescent="0.3">
      <c r="A44" s="24" t="s">
        <v>79</v>
      </c>
      <c r="B44" s="2"/>
      <c r="C44" s="7">
        <f t="shared" ref="C44:C55" si="2">E44/12</f>
        <v>0</v>
      </c>
      <c r="D44" s="7">
        <f>C44/C7</f>
        <v>0</v>
      </c>
      <c r="E44" s="55"/>
    </row>
    <row r="45" spans="1:5" ht="16.5" customHeight="1" x14ac:dyDescent="0.3">
      <c r="A45" s="24" t="s">
        <v>80</v>
      </c>
      <c r="B45" s="46"/>
      <c r="C45" s="7">
        <f t="shared" si="2"/>
        <v>0</v>
      </c>
      <c r="D45" s="7">
        <f>C45/C7</f>
        <v>0</v>
      </c>
      <c r="E45" s="55"/>
    </row>
    <row r="46" spans="1:5" ht="15.6" x14ac:dyDescent="0.3">
      <c r="A46" s="24" t="s">
        <v>81</v>
      </c>
      <c r="B46" s="2"/>
      <c r="C46" s="7">
        <f t="shared" si="2"/>
        <v>0</v>
      </c>
      <c r="D46" s="7">
        <f>C46/C7</f>
        <v>0</v>
      </c>
      <c r="E46" s="55"/>
    </row>
    <row r="47" spans="1:5" ht="15.6" x14ac:dyDescent="0.3">
      <c r="A47" s="24" t="s">
        <v>82</v>
      </c>
      <c r="B47" s="2"/>
      <c r="C47" s="7">
        <f>E47/12</f>
        <v>0</v>
      </c>
      <c r="D47" s="7">
        <f>C47/C7</f>
        <v>0</v>
      </c>
      <c r="E47" s="55"/>
    </row>
    <row r="48" spans="1:5" ht="15.6" x14ac:dyDescent="0.3">
      <c r="A48" s="24" t="s">
        <v>83</v>
      </c>
      <c r="B48" s="2"/>
      <c r="C48" s="7">
        <f t="shared" si="2"/>
        <v>0</v>
      </c>
      <c r="D48" s="7">
        <f>C48/C7</f>
        <v>0</v>
      </c>
      <c r="E48" s="55"/>
    </row>
    <row r="49" spans="1:5" ht="15.6" x14ac:dyDescent="0.3">
      <c r="A49" s="24"/>
      <c r="B49" s="2"/>
      <c r="C49" s="7">
        <f t="shared" si="2"/>
        <v>0</v>
      </c>
      <c r="D49" s="7">
        <f>C49/C7</f>
        <v>0</v>
      </c>
      <c r="E49" s="55"/>
    </row>
    <row r="50" spans="1:5" ht="15.6" x14ac:dyDescent="0.3">
      <c r="A50" s="38"/>
      <c r="B50" s="2"/>
      <c r="C50" s="7">
        <f t="shared" si="2"/>
        <v>0</v>
      </c>
      <c r="D50" s="7">
        <f>C50/C8</f>
        <v>0</v>
      </c>
      <c r="E50" s="55"/>
    </row>
    <row r="51" spans="1:5" ht="15.6" x14ac:dyDescent="0.3">
      <c r="A51" s="24"/>
      <c r="B51" s="2"/>
      <c r="C51" s="7">
        <f t="shared" si="2"/>
        <v>0</v>
      </c>
      <c r="D51" s="7">
        <f>C51/C7</f>
        <v>0</v>
      </c>
      <c r="E51" s="55"/>
    </row>
    <row r="52" spans="1:5" ht="15.6" x14ac:dyDescent="0.3">
      <c r="A52" s="24"/>
      <c r="B52" s="2"/>
      <c r="C52" s="7">
        <f t="shared" si="2"/>
        <v>0</v>
      </c>
      <c r="D52" s="7">
        <f>C52/C7</f>
        <v>0</v>
      </c>
      <c r="E52" s="55"/>
    </row>
    <row r="53" spans="1:5" ht="15.6" x14ac:dyDescent="0.3">
      <c r="A53" s="24"/>
      <c r="B53" s="2"/>
      <c r="C53" s="7">
        <f t="shared" si="2"/>
        <v>0</v>
      </c>
      <c r="D53" s="7">
        <f>C53/C7</f>
        <v>0</v>
      </c>
      <c r="E53" s="55"/>
    </row>
    <row r="54" spans="1:5" ht="15.6" x14ac:dyDescent="0.3">
      <c r="A54" s="24"/>
      <c r="B54" s="2"/>
      <c r="C54" s="7">
        <f t="shared" si="2"/>
        <v>0</v>
      </c>
      <c r="D54" s="7">
        <f>C54/C7</f>
        <v>0</v>
      </c>
      <c r="E54" s="55"/>
    </row>
    <row r="55" spans="1:5" ht="15.6" x14ac:dyDescent="0.3">
      <c r="A55" s="24"/>
      <c r="B55" s="2"/>
      <c r="C55" s="7">
        <f t="shared" si="2"/>
        <v>0</v>
      </c>
      <c r="D55" s="7">
        <f>C55/C7</f>
        <v>0</v>
      </c>
      <c r="E55" s="55"/>
    </row>
    <row r="56" spans="1:5" ht="15.6" x14ac:dyDescent="0.3">
      <c r="A56" s="24"/>
      <c r="B56" s="40" t="s">
        <v>70</v>
      </c>
      <c r="C56" s="41">
        <f>SUM(C43:C55)</f>
        <v>5622.5808333333334</v>
      </c>
      <c r="D56" s="41">
        <f>SUM(D43:D55)</f>
        <v>0.74836033026318127</v>
      </c>
      <c r="E56" s="40">
        <f>SUM(E43:E55)</f>
        <v>67470.97</v>
      </c>
    </row>
    <row r="57" spans="1:5" ht="15.6" x14ac:dyDescent="0.3">
      <c r="A57" s="31"/>
      <c r="B57" s="32" t="s">
        <v>60</v>
      </c>
      <c r="C57" s="30">
        <f>D57*C7</f>
        <v>75132</v>
      </c>
      <c r="D57" s="30">
        <f>D42+D23+D16</f>
        <v>10</v>
      </c>
      <c r="E57" s="30">
        <f>C57*12</f>
        <v>901584</v>
      </c>
    </row>
    <row r="58" spans="1:5" ht="15.6" x14ac:dyDescent="0.3">
      <c r="A58" s="31" t="s">
        <v>69</v>
      </c>
      <c r="B58" s="16" t="s">
        <v>65</v>
      </c>
      <c r="C58" s="16">
        <f>D58*C7</f>
        <v>2000</v>
      </c>
      <c r="D58" s="22">
        <f>C10/C7/12</f>
        <v>0.26619815790874729</v>
      </c>
      <c r="E58" s="16">
        <f>C58*12</f>
        <v>24000</v>
      </c>
    </row>
    <row r="59" spans="1:5" ht="15.6" x14ac:dyDescent="0.3">
      <c r="A59" s="24" t="s">
        <v>74</v>
      </c>
      <c r="B59" s="55" t="s">
        <v>72</v>
      </c>
      <c r="C59" s="76">
        <f>E59/12</f>
        <v>2000</v>
      </c>
      <c r="D59" s="54">
        <f>C59/C7</f>
        <v>0.26619815790874729</v>
      </c>
      <c r="E59" s="55">
        <v>24000</v>
      </c>
    </row>
    <row r="60" spans="1:5" ht="15.6" x14ac:dyDescent="0.3">
      <c r="A60" s="24" t="s">
        <v>75</v>
      </c>
      <c r="B60" s="55"/>
      <c r="C60" s="76"/>
      <c r="D60" s="54"/>
      <c r="E60" s="55"/>
    </row>
    <row r="61" spans="1:5" ht="15.6" x14ac:dyDescent="0.3">
      <c r="A61" s="24"/>
      <c r="B61" s="55"/>
      <c r="C61" s="76"/>
      <c r="D61" s="54"/>
      <c r="E61" s="55"/>
    </row>
    <row r="62" spans="1:5" ht="15.6" x14ac:dyDescent="0.3">
      <c r="A62" s="4"/>
      <c r="B62" s="42" t="s">
        <v>70</v>
      </c>
      <c r="C62" s="42"/>
      <c r="D62" s="43">
        <f>SUM(D59:D61)</f>
        <v>0.26619815790874729</v>
      </c>
      <c r="E62" s="42"/>
    </row>
    <row r="63" spans="1:5" x14ac:dyDescent="0.3">
      <c r="A63" s="119" t="s">
        <v>166</v>
      </c>
      <c r="B63" s="120"/>
      <c r="C63" s="120"/>
      <c r="D63" s="120"/>
      <c r="E63" s="121"/>
    </row>
    <row r="64" spans="1:5" x14ac:dyDescent="0.3">
      <c r="A64" s="122"/>
      <c r="B64" s="123"/>
      <c r="C64" s="123"/>
      <c r="D64" s="123"/>
      <c r="E64" s="124"/>
    </row>
    <row r="65" spans="1:5" x14ac:dyDescent="0.3">
      <c r="A65" s="122"/>
      <c r="B65" s="123"/>
      <c r="C65" s="123"/>
      <c r="D65" s="123"/>
      <c r="E65" s="124"/>
    </row>
    <row r="66" spans="1:5" x14ac:dyDescent="0.3">
      <c r="A66" s="125"/>
      <c r="B66" s="126"/>
      <c r="C66" s="126"/>
      <c r="D66" s="126"/>
      <c r="E66" s="127"/>
    </row>
    <row r="67" spans="1:5" ht="41.25" customHeight="1" x14ac:dyDescent="0.3">
      <c r="A67" s="114" t="s">
        <v>167</v>
      </c>
      <c r="B67" s="115"/>
      <c r="C67" s="3"/>
      <c r="D67" s="3"/>
      <c r="E67" s="3"/>
    </row>
  </sheetData>
  <mergeCells count="18">
    <mergeCell ref="A10:B10"/>
    <mergeCell ref="C10:E10"/>
    <mergeCell ref="A63:E66"/>
    <mergeCell ref="A67:B67"/>
    <mergeCell ref="A7:B7"/>
    <mergeCell ref="C7:E7"/>
    <mergeCell ref="A13:B13"/>
    <mergeCell ref="C13:E13"/>
    <mergeCell ref="A14:E14"/>
    <mergeCell ref="A8:B8"/>
    <mergeCell ref="C8:E8"/>
    <mergeCell ref="A9:B9"/>
    <mergeCell ref="C9:E9"/>
    <mergeCell ref="A2:E4"/>
    <mergeCell ref="A5:B5"/>
    <mergeCell ref="C5:E5"/>
    <mergeCell ref="A6:B6"/>
    <mergeCell ref="C6:E6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4"/>
  <sheetViews>
    <sheetView zoomScaleNormal="100" workbookViewId="0">
      <selection activeCell="C17" sqref="C17"/>
    </sheetView>
  </sheetViews>
  <sheetFormatPr defaultRowHeight="13.8" x14ac:dyDescent="0.3"/>
  <cols>
    <col min="1" max="1" width="8.5546875" style="29" customWidth="1"/>
    <col min="2" max="2" width="88.44140625" customWidth="1"/>
    <col min="3" max="3" width="11.6640625" customWidth="1"/>
    <col min="4" max="4" width="11.88671875" customWidth="1"/>
    <col min="5" max="5" width="12.33203125" customWidth="1"/>
  </cols>
  <sheetData>
    <row r="2" spans="1:5" x14ac:dyDescent="0.3">
      <c r="A2" s="102" t="s">
        <v>71</v>
      </c>
      <c r="B2" s="149"/>
      <c r="C2" s="149"/>
      <c r="D2" s="149"/>
      <c r="E2" s="149"/>
    </row>
    <row r="3" spans="1:5" ht="6.75" customHeight="1" x14ac:dyDescent="0.3">
      <c r="A3" s="149"/>
      <c r="B3" s="149"/>
      <c r="C3" s="149"/>
      <c r="D3" s="149"/>
      <c r="E3" s="149"/>
    </row>
    <row r="4" spans="1:5" ht="18.75" customHeight="1" x14ac:dyDescent="0.3">
      <c r="A4" s="150"/>
      <c r="B4" s="150"/>
      <c r="C4" s="150"/>
      <c r="D4" s="150"/>
      <c r="E4" s="150"/>
    </row>
    <row r="5" spans="1:5" ht="20.100000000000001" customHeight="1" x14ac:dyDescent="0.3">
      <c r="A5" s="143" t="s">
        <v>0</v>
      </c>
      <c r="B5" s="146"/>
      <c r="C5" s="143" t="s">
        <v>1</v>
      </c>
      <c r="D5" s="145"/>
      <c r="E5" s="146"/>
    </row>
    <row r="6" spans="1:5" ht="20.100000000000001" customHeight="1" x14ac:dyDescent="0.3">
      <c r="A6" s="143" t="s">
        <v>2</v>
      </c>
      <c r="B6" s="144"/>
      <c r="C6" s="147">
        <v>4</v>
      </c>
      <c r="D6" s="148"/>
      <c r="E6" s="144"/>
    </row>
    <row r="7" spans="1:5" ht="20.100000000000001" customHeight="1" x14ac:dyDescent="0.3">
      <c r="A7" s="143" t="s">
        <v>3</v>
      </c>
      <c r="B7" s="144"/>
      <c r="C7" s="147">
        <v>7089.1</v>
      </c>
      <c r="D7" s="148"/>
      <c r="E7" s="144"/>
    </row>
    <row r="8" spans="1:5" ht="20.100000000000001" customHeight="1" x14ac:dyDescent="0.3">
      <c r="A8" s="143" t="s">
        <v>4</v>
      </c>
      <c r="B8" s="144"/>
      <c r="C8" s="147">
        <v>787</v>
      </c>
      <c r="D8" s="148"/>
      <c r="E8" s="144"/>
    </row>
    <row r="9" spans="1:5" ht="20.100000000000001" customHeight="1" x14ac:dyDescent="0.3">
      <c r="A9" s="143" t="s">
        <v>5</v>
      </c>
      <c r="B9" s="144"/>
      <c r="C9" s="147">
        <v>11</v>
      </c>
      <c r="D9" s="148"/>
      <c r="E9" s="144"/>
    </row>
    <row r="10" spans="1:5" ht="20.100000000000001" customHeight="1" x14ac:dyDescent="0.3">
      <c r="A10" s="143" t="s">
        <v>6</v>
      </c>
      <c r="B10" s="144"/>
      <c r="C10" s="147">
        <v>29000</v>
      </c>
      <c r="D10" s="148"/>
      <c r="E10" s="144"/>
    </row>
    <row r="11" spans="1:5" ht="20.100000000000001" customHeight="1" x14ac:dyDescent="0.3">
      <c r="A11" s="92"/>
      <c r="B11" s="93" t="s">
        <v>56</v>
      </c>
      <c r="C11" s="92"/>
      <c r="D11" s="94">
        <f>C7*C9</f>
        <v>77980.100000000006</v>
      </c>
      <c r="E11" s="93"/>
    </row>
    <row r="12" spans="1:5" ht="20.100000000000001" customHeight="1" x14ac:dyDescent="0.3">
      <c r="A12" s="92"/>
      <c r="B12" s="93" t="s">
        <v>64</v>
      </c>
      <c r="C12" s="92"/>
      <c r="D12" s="94">
        <f>D11+(C10/12)</f>
        <v>80396.766666666677</v>
      </c>
      <c r="E12" s="93"/>
    </row>
    <row r="13" spans="1:5" ht="20.100000000000001" customHeight="1" x14ac:dyDescent="0.3">
      <c r="A13" s="143" t="s">
        <v>7</v>
      </c>
      <c r="B13" s="144"/>
      <c r="C13" s="143">
        <f>(C7*C9*12)+C10</f>
        <v>964761.20000000007</v>
      </c>
      <c r="D13" s="148"/>
      <c r="E13" s="144"/>
    </row>
    <row r="14" spans="1:5" ht="20.100000000000001" customHeight="1" x14ac:dyDescent="0.3">
      <c r="A14" s="97" t="s">
        <v>8</v>
      </c>
      <c r="B14" s="141"/>
      <c r="C14" s="141"/>
      <c r="D14" s="141"/>
      <c r="E14" s="142"/>
    </row>
    <row r="15" spans="1:5" ht="30.75" customHeight="1" x14ac:dyDescent="0.3">
      <c r="A15" s="4"/>
      <c r="B15" s="10" t="s">
        <v>12</v>
      </c>
      <c r="C15" s="10" t="s">
        <v>13</v>
      </c>
      <c r="D15" s="11" t="s">
        <v>14</v>
      </c>
      <c r="E15" s="10" t="s">
        <v>15</v>
      </c>
    </row>
    <row r="16" spans="1:5" ht="20.100000000000001" customHeight="1" x14ac:dyDescent="0.35">
      <c r="A16" s="23">
        <v>1</v>
      </c>
      <c r="B16" s="14" t="s">
        <v>9</v>
      </c>
      <c r="C16" s="21">
        <f>C17+C18</f>
        <v>16799.49999</v>
      </c>
      <c r="D16" s="21">
        <f>D17+D18</f>
        <v>2.4831738382399271</v>
      </c>
      <c r="E16" s="21">
        <f>E17+E18</f>
        <v>201593.99988000002</v>
      </c>
    </row>
    <row r="17" spans="1:5" ht="16.5" customHeight="1" x14ac:dyDescent="0.3">
      <c r="A17" s="24" t="s">
        <v>10</v>
      </c>
      <c r="B17" s="8" t="s">
        <v>11</v>
      </c>
      <c r="C17" s="54">
        <f>(D11*12.59%)+(C10*12.59%/12)</f>
        <v>10121.952923333334</v>
      </c>
      <c r="D17" s="54">
        <f>C17/C7</f>
        <v>1.427819176388164</v>
      </c>
      <c r="E17" s="54">
        <f>C17*12</f>
        <v>121463.43508000001</v>
      </c>
    </row>
    <row r="18" spans="1:5" ht="17.25" customHeight="1" x14ac:dyDescent="0.3">
      <c r="A18" s="4" t="s">
        <v>16</v>
      </c>
      <c r="B18" s="8" t="s">
        <v>17</v>
      </c>
      <c r="C18" s="62">
        <f>SUM(C19:C21)</f>
        <v>6677.547066666667</v>
      </c>
      <c r="D18" s="62">
        <f>SUM(D19:D22)</f>
        <v>1.0553546618517631</v>
      </c>
      <c r="E18" s="62">
        <f t="shared" ref="E18" si="0">SUM(E19:E21)</f>
        <v>80130.564800000007</v>
      </c>
    </row>
    <row r="19" spans="1:5" ht="16.5" customHeight="1" x14ac:dyDescent="0.3">
      <c r="A19" s="24" t="s">
        <v>18</v>
      </c>
      <c r="B19" s="8" t="s">
        <v>19</v>
      </c>
      <c r="C19" s="54">
        <f>E19/12</f>
        <v>2112.1666666666665</v>
      </c>
      <c r="D19" s="54">
        <f>C19/C7</f>
        <v>0.29794567246429959</v>
      </c>
      <c r="E19" s="54">
        <v>25346</v>
      </c>
    </row>
    <row r="20" spans="1:5" ht="33.75" customHeight="1" x14ac:dyDescent="0.3">
      <c r="A20" s="24" t="s">
        <v>20</v>
      </c>
      <c r="B20" s="13" t="s">
        <v>21</v>
      </c>
      <c r="C20" s="54">
        <f>D20*C7</f>
        <v>1914.0570000000002</v>
      </c>
      <c r="D20" s="55">
        <v>0.27</v>
      </c>
      <c r="E20" s="54">
        <f>C20*12</f>
        <v>22968.684000000001</v>
      </c>
    </row>
    <row r="21" spans="1:5" ht="15" customHeight="1" x14ac:dyDescent="0.3">
      <c r="A21" s="24" t="s">
        <v>22</v>
      </c>
      <c r="B21" s="8" t="s">
        <v>23</v>
      </c>
      <c r="C21" s="7">
        <f>D11*3.4%</f>
        <v>2651.3234000000002</v>
      </c>
      <c r="D21" s="7">
        <f>C21/C7</f>
        <v>0.374</v>
      </c>
      <c r="E21" s="7">
        <f>C21*12</f>
        <v>31815.880800000003</v>
      </c>
    </row>
    <row r="22" spans="1:5" ht="17.25" customHeight="1" x14ac:dyDescent="0.3">
      <c r="A22" s="24" t="s">
        <v>66</v>
      </c>
      <c r="B22" s="8" t="s">
        <v>67</v>
      </c>
      <c r="C22" s="7">
        <f>E22/12</f>
        <v>803.96766666666679</v>
      </c>
      <c r="D22" s="7">
        <f>C22/C7</f>
        <v>0.1134089893874634</v>
      </c>
      <c r="E22" s="7">
        <f>C13*1%</f>
        <v>9647.612000000001</v>
      </c>
    </row>
    <row r="23" spans="1:5" ht="20.100000000000001" customHeight="1" x14ac:dyDescent="0.35">
      <c r="A23" s="25" t="s">
        <v>24</v>
      </c>
      <c r="B23" s="14" t="s">
        <v>25</v>
      </c>
      <c r="C23" s="21">
        <f>C24+C28+C33</f>
        <v>43372.367333333335</v>
      </c>
      <c r="D23" s="21">
        <f>D24+D28+D33</f>
        <v>6.1181768254550413</v>
      </c>
      <c r="E23" s="21">
        <f>E24+E28+E33</f>
        <v>520468.408</v>
      </c>
    </row>
    <row r="24" spans="1:5" ht="21.75" customHeight="1" x14ac:dyDescent="0.3">
      <c r="A24" s="26" t="s">
        <v>26</v>
      </c>
      <c r="B24" s="15" t="s">
        <v>27</v>
      </c>
      <c r="C24" s="22">
        <f>SUM(C25:C27)</f>
        <v>1659.6796666666667</v>
      </c>
      <c r="D24" s="22">
        <f>SUM(D25:D27)</f>
        <v>0.23411711876919025</v>
      </c>
      <c r="E24" s="22">
        <f>SUM(E25:E27)</f>
        <v>19916.156000000003</v>
      </c>
    </row>
    <row r="25" spans="1:5" ht="17.25" customHeight="1" x14ac:dyDescent="0.3">
      <c r="A25" s="24" t="s">
        <v>28</v>
      </c>
      <c r="B25" s="13" t="s">
        <v>61</v>
      </c>
      <c r="C25" s="7">
        <f>D25*C7</f>
        <v>1276.038</v>
      </c>
      <c r="D25" s="2">
        <v>0.18</v>
      </c>
      <c r="E25" s="7">
        <f>C25*12</f>
        <v>15312.456</v>
      </c>
    </row>
    <row r="26" spans="1:5" ht="15" customHeight="1" x14ac:dyDescent="0.3">
      <c r="A26" s="24" t="s">
        <v>29</v>
      </c>
      <c r="B26" s="2" t="s">
        <v>30</v>
      </c>
      <c r="C26" s="7">
        <f>D26*C7</f>
        <v>354.45500000000004</v>
      </c>
      <c r="D26" s="2">
        <v>0.05</v>
      </c>
      <c r="E26" s="7">
        <f>C26*12</f>
        <v>4253.4600000000009</v>
      </c>
    </row>
    <row r="27" spans="1:5" ht="18" customHeight="1" x14ac:dyDescent="0.3">
      <c r="A27" s="57" t="s">
        <v>31</v>
      </c>
      <c r="B27" s="55" t="s">
        <v>57</v>
      </c>
      <c r="C27" s="54">
        <f>E27/12</f>
        <v>29.186666666666667</v>
      </c>
      <c r="D27" s="56">
        <f>C27/C7</f>
        <v>4.1171187691902587E-3</v>
      </c>
      <c r="E27" s="55">
        <f>87.56*4</f>
        <v>350.24</v>
      </c>
    </row>
    <row r="28" spans="1:5" ht="20.100000000000001" customHeight="1" x14ac:dyDescent="0.3">
      <c r="A28" s="65" t="s">
        <v>32</v>
      </c>
      <c r="B28" s="17" t="s">
        <v>33</v>
      </c>
      <c r="C28" s="22">
        <f>SUM(C29:C32)</f>
        <v>18006.314000000002</v>
      </c>
      <c r="D28" s="22">
        <f>SUM(D29:D32)</f>
        <v>2.54</v>
      </c>
      <c r="E28" s="22">
        <f>SUM(E29:E32)</f>
        <v>216075.76800000001</v>
      </c>
    </row>
    <row r="29" spans="1:5" ht="15" customHeight="1" x14ac:dyDescent="0.3">
      <c r="A29" s="57" t="s">
        <v>34</v>
      </c>
      <c r="B29" s="13" t="s">
        <v>62</v>
      </c>
      <c r="C29" s="7">
        <f>D29*C7</f>
        <v>12405.925000000001</v>
      </c>
      <c r="D29" s="2">
        <v>1.75</v>
      </c>
      <c r="E29" s="7">
        <f>C29*12</f>
        <v>148871.1</v>
      </c>
    </row>
    <row r="30" spans="1:5" ht="15.75" customHeight="1" x14ac:dyDescent="0.3">
      <c r="A30" s="57" t="s">
        <v>35</v>
      </c>
      <c r="B30" s="2" t="s">
        <v>30</v>
      </c>
      <c r="C30" s="7">
        <f>D30*C7</f>
        <v>638.01900000000001</v>
      </c>
      <c r="D30" s="2">
        <v>0.09</v>
      </c>
      <c r="E30" s="7">
        <f>C30*12</f>
        <v>7656.2280000000001</v>
      </c>
    </row>
    <row r="31" spans="1:5" ht="17.25" customHeight="1" x14ac:dyDescent="0.3">
      <c r="A31" s="57" t="s">
        <v>37</v>
      </c>
      <c r="B31" s="2" t="s">
        <v>40</v>
      </c>
      <c r="C31" s="7">
        <f>D31*C7</f>
        <v>212.673</v>
      </c>
      <c r="D31" s="2">
        <v>0.03</v>
      </c>
      <c r="E31" s="7">
        <f>C31*12</f>
        <v>2552.076</v>
      </c>
    </row>
    <row r="32" spans="1:5" ht="16.5" customHeight="1" x14ac:dyDescent="0.3">
      <c r="A32" s="57" t="s">
        <v>38</v>
      </c>
      <c r="B32" s="2" t="s">
        <v>41</v>
      </c>
      <c r="C32" s="7">
        <f>D32*C7</f>
        <v>4749.6970000000001</v>
      </c>
      <c r="D32" s="2">
        <v>0.67</v>
      </c>
      <c r="E32" s="7">
        <f>C32*12</f>
        <v>56996.364000000001</v>
      </c>
    </row>
    <row r="33" spans="1:5" ht="31.5" customHeight="1" x14ac:dyDescent="0.3">
      <c r="A33" s="65" t="s">
        <v>42</v>
      </c>
      <c r="B33" s="18" t="s">
        <v>43</v>
      </c>
      <c r="C33" s="22">
        <f>SUM(C34:C40)</f>
        <v>23706.373666666666</v>
      </c>
      <c r="D33" s="22">
        <f>SUM(D34:D40)</f>
        <v>3.3440597066858504</v>
      </c>
      <c r="E33" s="22">
        <f>SUM(E34:E40)</f>
        <v>284476.484</v>
      </c>
    </row>
    <row r="34" spans="1:5" ht="15.75" customHeight="1" x14ac:dyDescent="0.3">
      <c r="A34" s="57" t="s">
        <v>44</v>
      </c>
      <c r="B34" s="12" t="s">
        <v>73</v>
      </c>
      <c r="C34" s="7">
        <f>D34*C7</f>
        <v>17935.422999999999</v>
      </c>
      <c r="D34" s="2">
        <v>2.5299999999999998</v>
      </c>
      <c r="E34" s="7">
        <f>C34*12</f>
        <v>215225.076</v>
      </c>
    </row>
    <row r="35" spans="1:5" ht="13.5" customHeight="1" x14ac:dyDescent="0.3">
      <c r="A35" s="57" t="s">
        <v>46</v>
      </c>
      <c r="B35" s="58" t="s">
        <v>45</v>
      </c>
      <c r="C35" s="54">
        <f>D35*C7</f>
        <v>638.01900000000001</v>
      </c>
      <c r="D35" s="55">
        <v>0.09</v>
      </c>
      <c r="E35" s="54">
        <f t="shared" ref="E35:E40" si="1">C35*12</f>
        <v>7656.2280000000001</v>
      </c>
    </row>
    <row r="36" spans="1:5" ht="15.75" customHeight="1" x14ac:dyDescent="0.3">
      <c r="A36" s="57" t="s">
        <v>47</v>
      </c>
      <c r="B36" s="55" t="s">
        <v>48</v>
      </c>
      <c r="C36" s="54">
        <f>D36*C7</f>
        <v>141.78200000000001</v>
      </c>
      <c r="D36" s="55">
        <v>0.02</v>
      </c>
      <c r="E36" s="54">
        <f t="shared" si="1"/>
        <v>1701.384</v>
      </c>
    </row>
    <row r="37" spans="1:5" ht="14.25" customHeight="1" x14ac:dyDescent="0.3">
      <c r="A37" s="57" t="s">
        <v>49</v>
      </c>
      <c r="B37" s="55" t="s">
        <v>50</v>
      </c>
      <c r="C37" s="54">
        <f>D37*C7</f>
        <v>212.673</v>
      </c>
      <c r="D37" s="55">
        <v>0.03</v>
      </c>
      <c r="E37" s="54">
        <f t="shared" si="1"/>
        <v>2552.076</v>
      </c>
    </row>
    <row r="38" spans="1:5" ht="16.5" customHeight="1" x14ac:dyDescent="0.3">
      <c r="A38" s="57" t="s">
        <v>51</v>
      </c>
      <c r="B38" s="55" t="s">
        <v>52</v>
      </c>
      <c r="C38" s="59">
        <f>E38/12</f>
        <v>524.66666666666663</v>
      </c>
      <c r="D38" s="59">
        <f>C38/C7</f>
        <v>7.4010335115411913E-2</v>
      </c>
      <c r="E38" s="59">
        <f>C8*4*2</f>
        <v>6296</v>
      </c>
    </row>
    <row r="39" spans="1:5" ht="17.25" customHeight="1" x14ac:dyDescent="0.3">
      <c r="A39" s="57" t="s">
        <v>53</v>
      </c>
      <c r="B39" s="55" t="s">
        <v>128</v>
      </c>
      <c r="C39" s="54">
        <v>3544.9</v>
      </c>
      <c r="D39" s="54">
        <f>C39/C7</f>
        <v>0.50004937157043916</v>
      </c>
      <c r="E39" s="54">
        <f t="shared" si="1"/>
        <v>42538.8</v>
      </c>
    </row>
    <row r="40" spans="1:5" ht="15.75" customHeight="1" x14ac:dyDescent="0.3">
      <c r="A40" s="57" t="s">
        <v>55</v>
      </c>
      <c r="B40" s="55" t="s">
        <v>30</v>
      </c>
      <c r="C40" s="54">
        <f>D40*C7</f>
        <v>708.91000000000008</v>
      </c>
      <c r="D40" s="55">
        <v>0.1</v>
      </c>
      <c r="E40" s="54">
        <f t="shared" si="1"/>
        <v>8506.9200000000019</v>
      </c>
    </row>
    <row r="41" spans="1:5" ht="20.100000000000001" customHeight="1" x14ac:dyDescent="0.3">
      <c r="A41" s="65" t="s">
        <v>68</v>
      </c>
      <c r="B41" s="16" t="s">
        <v>59</v>
      </c>
      <c r="C41" s="22">
        <f>D41*C7</f>
        <v>17004.265009999996</v>
      </c>
      <c r="D41" s="22">
        <f>C9-D16-D23</f>
        <v>2.3986493363050307</v>
      </c>
      <c r="E41" s="22">
        <f>C41*12</f>
        <v>204051.18011999995</v>
      </c>
    </row>
    <row r="42" spans="1:5" ht="16.5" customHeight="1" x14ac:dyDescent="0.3">
      <c r="A42" s="24" t="s">
        <v>77</v>
      </c>
      <c r="B42" s="2" t="s">
        <v>78</v>
      </c>
      <c r="C42" s="7">
        <f>E42/12</f>
        <v>4166.666666666667</v>
      </c>
      <c r="D42" s="7">
        <f>C42/C7</f>
        <v>0.58775679094196254</v>
      </c>
      <c r="E42" s="55">
        <v>50000</v>
      </c>
    </row>
    <row r="43" spans="1:5" ht="15" customHeight="1" x14ac:dyDescent="0.3">
      <c r="A43" s="24" t="s">
        <v>79</v>
      </c>
      <c r="B43" s="2" t="s">
        <v>161</v>
      </c>
      <c r="C43" s="7">
        <f>E43/12</f>
        <v>10833.333333333334</v>
      </c>
      <c r="D43" s="7">
        <f>C43/C7</f>
        <v>1.5281676564491027</v>
      </c>
      <c r="E43" s="55">
        <v>130000</v>
      </c>
    </row>
    <row r="44" spans="1:5" ht="15.75" customHeight="1" x14ac:dyDescent="0.3">
      <c r="A44" s="24" t="s">
        <v>80</v>
      </c>
      <c r="B44" s="2" t="s">
        <v>162</v>
      </c>
      <c r="C44" s="7">
        <f>E44/12</f>
        <v>2004.2650000000001</v>
      </c>
      <c r="D44" s="7">
        <f>C44/C7</f>
        <v>0.28272488750335023</v>
      </c>
      <c r="E44" s="55">
        <v>24051.18</v>
      </c>
    </row>
    <row r="45" spans="1:5" ht="15.75" customHeight="1" x14ac:dyDescent="0.3">
      <c r="A45" s="24"/>
      <c r="B45" s="40" t="s">
        <v>70</v>
      </c>
      <c r="C45" s="41">
        <f>SUM(C42:C44)</f>
        <v>17004.264999999999</v>
      </c>
      <c r="D45" s="41">
        <f>SUM(D42:D44)</f>
        <v>2.3986493348944156</v>
      </c>
      <c r="E45" s="40">
        <f>SUM(E42:E44)</f>
        <v>204051.18</v>
      </c>
    </row>
    <row r="46" spans="1:5" ht="20.100000000000001" customHeight="1" x14ac:dyDescent="0.3">
      <c r="A46" s="31"/>
      <c r="B46" s="32" t="s">
        <v>60</v>
      </c>
      <c r="C46" s="30">
        <f>D46*C7</f>
        <v>77980.100000000006</v>
      </c>
      <c r="D46" s="30">
        <f>D41+D23+D16</f>
        <v>11</v>
      </c>
      <c r="E46" s="30">
        <f>C46*12</f>
        <v>935761.20000000007</v>
      </c>
    </row>
    <row r="47" spans="1:5" ht="14.25" customHeight="1" x14ac:dyDescent="0.3">
      <c r="A47" s="31" t="s">
        <v>69</v>
      </c>
      <c r="B47" s="16" t="s">
        <v>65</v>
      </c>
      <c r="C47" s="16">
        <f>D47*C7</f>
        <v>2416.666666666667</v>
      </c>
      <c r="D47" s="22">
        <f>C10/C7/12</f>
        <v>0.34089893874633831</v>
      </c>
      <c r="E47" s="16">
        <f>C47*12</f>
        <v>29000.000000000004</v>
      </c>
    </row>
    <row r="48" spans="1:5" ht="15.75" customHeight="1" x14ac:dyDescent="0.3">
      <c r="A48" s="24" t="s">
        <v>74</v>
      </c>
      <c r="B48" s="55" t="s">
        <v>72</v>
      </c>
      <c r="C48" s="76">
        <f>E48/12</f>
        <v>2416.6666666666665</v>
      </c>
      <c r="D48" s="54">
        <f>C48/C7</f>
        <v>0.34089893874633825</v>
      </c>
      <c r="E48" s="55">
        <v>29000</v>
      </c>
    </row>
    <row r="49" spans="1:5" ht="15.75" customHeight="1" x14ac:dyDescent="0.3">
      <c r="A49" s="4"/>
      <c r="B49" s="42" t="s">
        <v>70</v>
      </c>
      <c r="C49" s="42"/>
      <c r="D49" s="43">
        <f>SUM(D48:D48)</f>
        <v>0.34089893874633825</v>
      </c>
      <c r="E49" s="42"/>
    </row>
    <row r="50" spans="1:5" x14ac:dyDescent="0.3">
      <c r="A50" s="119" t="s">
        <v>166</v>
      </c>
      <c r="B50" s="120"/>
      <c r="C50" s="120"/>
      <c r="D50" s="120"/>
      <c r="E50" s="121"/>
    </row>
    <row r="51" spans="1:5" x14ac:dyDescent="0.3">
      <c r="A51" s="122"/>
      <c r="B51" s="123"/>
      <c r="C51" s="123"/>
      <c r="D51" s="123"/>
      <c r="E51" s="124"/>
    </row>
    <row r="52" spans="1:5" x14ac:dyDescent="0.3">
      <c r="A52" s="122"/>
      <c r="B52" s="123"/>
      <c r="C52" s="123"/>
      <c r="D52" s="123"/>
      <c r="E52" s="124"/>
    </row>
    <row r="53" spans="1:5" x14ac:dyDescent="0.3">
      <c r="A53" s="125"/>
      <c r="B53" s="126"/>
      <c r="C53" s="126"/>
      <c r="D53" s="126"/>
      <c r="E53" s="127"/>
    </row>
    <row r="54" spans="1:5" ht="36" customHeight="1" x14ac:dyDescent="0.3">
      <c r="A54" s="114" t="s">
        <v>167</v>
      </c>
      <c r="B54" s="115"/>
      <c r="C54" s="3"/>
      <c r="D54" s="3"/>
      <c r="E54" s="3"/>
    </row>
  </sheetData>
  <mergeCells count="18">
    <mergeCell ref="A2:E4"/>
    <mergeCell ref="A5:B5"/>
    <mergeCell ref="A6:B6"/>
    <mergeCell ref="A7:B7"/>
    <mergeCell ref="A8:B8"/>
    <mergeCell ref="A50:E53"/>
    <mergeCell ref="A54:B54"/>
    <mergeCell ref="A14:E14"/>
    <mergeCell ref="A10:B10"/>
    <mergeCell ref="C5:E5"/>
    <mergeCell ref="C6:E6"/>
    <mergeCell ref="C7:E7"/>
    <mergeCell ref="C8:E8"/>
    <mergeCell ref="C9:E9"/>
    <mergeCell ref="C10:E10"/>
    <mergeCell ref="A13:B13"/>
    <mergeCell ref="C13:E13"/>
    <mergeCell ref="A9:B9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4"/>
  <sheetViews>
    <sheetView topLeftCell="A27" workbookViewId="0">
      <selection activeCell="F38" sqref="F38"/>
    </sheetView>
  </sheetViews>
  <sheetFormatPr defaultRowHeight="13.8" x14ac:dyDescent="0.3"/>
  <cols>
    <col min="1" max="1" width="8.5546875" style="29" customWidth="1"/>
    <col min="2" max="2" width="75.44140625" customWidth="1"/>
    <col min="3" max="3" width="11.6640625" customWidth="1"/>
    <col min="4" max="4" width="11.88671875" customWidth="1"/>
    <col min="5" max="5" width="12.33203125" customWidth="1"/>
  </cols>
  <sheetData>
    <row r="2" spans="1:5" x14ac:dyDescent="0.3">
      <c r="A2" s="102" t="s">
        <v>120</v>
      </c>
      <c r="B2" s="102"/>
      <c r="C2" s="102"/>
      <c r="D2" s="102"/>
      <c r="E2" s="102"/>
    </row>
    <row r="3" spans="1:5" x14ac:dyDescent="0.3">
      <c r="A3" s="102"/>
      <c r="B3" s="102"/>
      <c r="C3" s="102"/>
      <c r="D3" s="102"/>
      <c r="E3" s="102"/>
    </row>
    <row r="4" spans="1:5" x14ac:dyDescent="0.3">
      <c r="A4" s="103"/>
      <c r="B4" s="103"/>
      <c r="C4" s="103"/>
      <c r="D4" s="103"/>
      <c r="E4" s="103"/>
    </row>
    <row r="5" spans="1:5" ht="15.6" x14ac:dyDescent="0.3">
      <c r="A5" s="97" t="s">
        <v>0</v>
      </c>
      <c r="B5" s="98"/>
      <c r="C5" s="97" t="s">
        <v>1</v>
      </c>
      <c r="D5" s="104"/>
      <c r="E5" s="98"/>
    </row>
    <row r="6" spans="1:5" ht="15.6" x14ac:dyDescent="0.3">
      <c r="A6" s="97" t="s">
        <v>2</v>
      </c>
      <c r="B6" s="98"/>
      <c r="C6" s="133">
        <v>11</v>
      </c>
      <c r="D6" s="134"/>
      <c r="E6" s="135"/>
    </row>
    <row r="7" spans="1:5" ht="15.6" x14ac:dyDescent="0.3">
      <c r="A7" s="97" t="s">
        <v>3</v>
      </c>
      <c r="B7" s="98"/>
      <c r="C7" s="133">
        <v>21514.97</v>
      </c>
      <c r="D7" s="134"/>
      <c r="E7" s="135"/>
    </row>
    <row r="8" spans="1:5" ht="15.6" x14ac:dyDescent="0.3">
      <c r="A8" s="97" t="s">
        <v>4</v>
      </c>
      <c r="B8" s="98"/>
      <c r="C8" s="133">
        <v>2388</v>
      </c>
      <c r="D8" s="134"/>
      <c r="E8" s="135"/>
    </row>
    <row r="9" spans="1:5" ht="15.6" x14ac:dyDescent="0.3">
      <c r="A9" s="97" t="s">
        <v>5</v>
      </c>
      <c r="B9" s="98"/>
      <c r="C9" s="133">
        <v>8.5</v>
      </c>
      <c r="D9" s="134"/>
      <c r="E9" s="135"/>
    </row>
    <row r="10" spans="1:5" ht="15.6" x14ac:dyDescent="0.3">
      <c r="A10" s="97" t="s">
        <v>6</v>
      </c>
      <c r="B10" s="98"/>
      <c r="C10" s="133">
        <v>35400</v>
      </c>
      <c r="D10" s="134"/>
      <c r="E10" s="135"/>
    </row>
    <row r="11" spans="1:5" ht="15.6" x14ac:dyDescent="0.3">
      <c r="A11" s="50"/>
      <c r="B11" s="51" t="s">
        <v>56</v>
      </c>
      <c r="C11" s="50"/>
      <c r="D11" s="52">
        <f>C7*C9</f>
        <v>182877.245</v>
      </c>
      <c r="E11" s="51"/>
    </row>
    <row r="12" spans="1:5" ht="15.6" x14ac:dyDescent="0.3">
      <c r="A12" s="50"/>
      <c r="B12" s="51" t="s">
        <v>64</v>
      </c>
      <c r="C12" s="50"/>
      <c r="D12" s="52">
        <f>D11+(C10/12)</f>
        <v>185827.245</v>
      </c>
      <c r="E12" s="51"/>
    </row>
    <row r="13" spans="1:5" ht="15.6" x14ac:dyDescent="0.3">
      <c r="A13" s="97" t="s">
        <v>7</v>
      </c>
      <c r="B13" s="98"/>
      <c r="C13" s="97">
        <f>(C7*C9*12)+C10</f>
        <v>2229926.94</v>
      </c>
      <c r="D13" s="104"/>
      <c r="E13" s="98"/>
    </row>
    <row r="14" spans="1:5" ht="15.6" x14ac:dyDescent="0.3">
      <c r="A14" s="97" t="s">
        <v>8</v>
      </c>
      <c r="B14" s="104"/>
      <c r="C14" s="104"/>
      <c r="D14" s="104"/>
      <c r="E14" s="98"/>
    </row>
    <row r="15" spans="1:5" ht="46.8" x14ac:dyDescent="0.3">
      <c r="A15" s="4"/>
      <c r="B15" s="10" t="s">
        <v>12</v>
      </c>
      <c r="C15" s="10" t="s">
        <v>13</v>
      </c>
      <c r="D15" s="11" t="s">
        <v>14</v>
      </c>
      <c r="E15" s="10" t="s">
        <v>15</v>
      </c>
    </row>
    <row r="16" spans="1:5" ht="18" x14ac:dyDescent="0.35">
      <c r="A16" s="23">
        <v>1</v>
      </c>
      <c r="B16" s="14" t="s">
        <v>9</v>
      </c>
      <c r="C16" s="21">
        <f>C17+C18</f>
        <v>47723.361373333333</v>
      </c>
      <c r="D16" s="21">
        <f>D17+D18</f>
        <v>2.304517915820163</v>
      </c>
      <c r="E16" s="21">
        <f>E17+E18</f>
        <v>572680.33648000006</v>
      </c>
    </row>
    <row r="17" spans="1:6" ht="15.6" x14ac:dyDescent="0.3">
      <c r="A17" s="24" t="s">
        <v>10</v>
      </c>
      <c r="B17" s="8" t="s">
        <v>11</v>
      </c>
      <c r="C17" s="54">
        <f>(D11*13.8%)+(C10*13.8%/12)</f>
        <v>25644.159810000001</v>
      </c>
      <c r="D17" s="54">
        <f>C17/C7</f>
        <v>1.1919217089310372</v>
      </c>
      <c r="E17" s="54">
        <f>C17*12</f>
        <v>307729.91772000003</v>
      </c>
    </row>
    <row r="18" spans="1:6" ht="15.6" x14ac:dyDescent="0.3">
      <c r="A18" s="4" t="s">
        <v>16</v>
      </c>
      <c r="B18" s="8" t="s">
        <v>17</v>
      </c>
      <c r="C18" s="62">
        <f>SUM(C19:C21)</f>
        <v>22079.201563333336</v>
      </c>
      <c r="D18" s="62">
        <f>SUM(D19:D22)</f>
        <v>1.1125962068891257</v>
      </c>
      <c r="E18" s="62">
        <f t="shared" ref="E18" si="0">SUM(E19:E21)</f>
        <v>264950.41876000003</v>
      </c>
    </row>
    <row r="19" spans="1:6" ht="15.6" x14ac:dyDescent="0.3">
      <c r="A19" s="24" t="s">
        <v>18</v>
      </c>
      <c r="B19" s="8" t="s">
        <v>19</v>
      </c>
      <c r="C19" s="54">
        <f>E19/12</f>
        <v>10052.333333333334</v>
      </c>
      <c r="D19" s="54">
        <f>C19/C7</f>
        <v>0.46722506856078971</v>
      </c>
      <c r="E19" s="54">
        <v>120628</v>
      </c>
    </row>
    <row r="20" spans="1:6" ht="28.2" x14ac:dyDescent="0.3">
      <c r="A20" s="24" t="s">
        <v>20</v>
      </c>
      <c r="B20" s="13" t="s">
        <v>21</v>
      </c>
      <c r="C20" s="54">
        <f>D20*C7</f>
        <v>5809.0419000000011</v>
      </c>
      <c r="D20" s="55">
        <v>0.27</v>
      </c>
      <c r="E20" s="54">
        <f>C20*12</f>
        <v>69708.502800000017</v>
      </c>
    </row>
    <row r="21" spans="1:6" ht="15.6" x14ac:dyDescent="0.3">
      <c r="A21" s="24" t="s">
        <v>22</v>
      </c>
      <c r="B21" s="8" t="s">
        <v>23</v>
      </c>
      <c r="C21" s="7">
        <f>D11*3.4%</f>
        <v>6217.8263299999999</v>
      </c>
      <c r="D21" s="7">
        <f>C21/C7</f>
        <v>0.28899999999999998</v>
      </c>
      <c r="E21" s="7">
        <f>C21*12</f>
        <v>74613.915959999998</v>
      </c>
    </row>
    <row r="22" spans="1:6" ht="15.6" x14ac:dyDescent="0.3">
      <c r="A22" s="24" t="s">
        <v>66</v>
      </c>
      <c r="B22" s="8" t="s">
        <v>67</v>
      </c>
      <c r="C22" s="7">
        <f>E22/12</f>
        <v>1858.2724500000002</v>
      </c>
      <c r="D22" s="7">
        <f>C22/C7</f>
        <v>8.6371138328336039E-2</v>
      </c>
      <c r="E22" s="7">
        <f>C13*1%</f>
        <v>22299.269400000001</v>
      </c>
    </row>
    <row r="23" spans="1:6" ht="18" x14ac:dyDescent="0.35">
      <c r="A23" s="25" t="s">
        <v>24</v>
      </c>
      <c r="B23" s="14" t="s">
        <v>25</v>
      </c>
      <c r="C23" s="21">
        <f>C24+C28+C34</f>
        <v>125565.19713333333</v>
      </c>
      <c r="D23" s="21">
        <f>D24+D28+D34</f>
        <v>5.8361781184604631</v>
      </c>
      <c r="E23" s="21">
        <f>E24+E28+E34</f>
        <v>1506782.3656000001</v>
      </c>
    </row>
    <row r="24" spans="1:6" ht="17.399999999999999" x14ac:dyDescent="0.3">
      <c r="A24" s="26" t="s">
        <v>26</v>
      </c>
      <c r="B24" s="15" t="s">
        <v>27</v>
      </c>
      <c r="C24" s="22">
        <f>SUM(C25:C27)</f>
        <v>5028.7064333333337</v>
      </c>
      <c r="D24" s="22">
        <f>SUM(D25:D27)</f>
        <v>0.23373058076926592</v>
      </c>
      <c r="E24" s="22">
        <f>SUM(E25:E27)</f>
        <v>60344.477200000008</v>
      </c>
    </row>
    <row r="25" spans="1:6" ht="15.6" x14ac:dyDescent="0.3">
      <c r="A25" s="57" t="s">
        <v>28</v>
      </c>
      <c r="B25" s="13" t="s">
        <v>61</v>
      </c>
      <c r="C25" s="7">
        <f>D25*C7</f>
        <v>3872.6946000000003</v>
      </c>
      <c r="D25" s="2">
        <v>0.18</v>
      </c>
      <c r="E25" s="7">
        <f>C25*12</f>
        <v>46472.335200000001</v>
      </c>
    </row>
    <row r="26" spans="1:6" ht="15.6" x14ac:dyDescent="0.3">
      <c r="A26" s="57" t="s">
        <v>29</v>
      </c>
      <c r="B26" s="2" t="s">
        <v>30</v>
      </c>
      <c r="C26" s="7">
        <f>D26*C7</f>
        <v>1075.7485000000001</v>
      </c>
      <c r="D26" s="2">
        <v>0.05</v>
      </c>
      <c r="E26" s="7">
        <f>C26*12</f>
        <v>12908.982000000002</v>
      </c>
    </row>
    <row r="27" spans="1:6" ht="15.6" x14ac:dyDescent="0.3">
      <c r="A27" s="57" t="s">
        <v>31</v>
      </c>
      <c r="B27" s="55" t="s">
        <v>57</v>
      </c>
      <c r="C27" s="54">
        <f>E27/12</f>
        <v>80.263333333333335</v>
      </c>
      <c r="D27" s="56">
        <f>C27/C7</f>
        <v>3.7305807692659264E-3</v>
      </c>
      <c r="E27" s="55">
        <f>87.56*11</f>
        <v>963.16000000000008</v>
      </c>
      <c r="F27" s="67"/>
    </row>
    <row r="28" spans="1:6" ht="17.399999999999999" x14ac:dyDescent="0.3">
      <c r="A28" s="65" t="s">
        <v>32</v>
      </c>
      <c r="B28" s="17" t="s">
        <v>33</v>
      </c>
      <c r="C28" s="22">
        <f>SUM(C29:C33)</f>
        <v>59348.023800000003</v>
      </c>
      <c r="D28" s="22">
        <f>SUM(D29:D33)</f>
        <v>2.7584525472264194</v>
      </c>
      <c r="E28" s="22">
        <f>SUM(E29:E33)</f>
        <v>712176.28560000006</v>
      </c>
    </row>
    <row r="29" spans="1:6" ht="15.6" x14ac:dyDescent="0.3">
      <c r="A29" s="57" t="s">
        <v>34</v>
      </c>
      <c r="B29" s="13" t="s">
        <v>62</v>
      </c>
      <c r="C29" s="7">
        <f>D29*C7</f>
        <v>37651.197500000002</v>
      </c>
      <c r="D29" s="2">
        <v>1.75</v>
      </c>
      <c r="E29" s="7">
        <f>C29*12</f>
        <v>451814.37</v>
      </c>
    </row>
    <row r="30" spans="1:6" ht="15.6" x14ac:dyDescent="0.3">
      <c r="A30" s="57" t="s">
        <v>35</v>
      </c>
      <c r="B30" s="55" t="s">
        <v>36</v>
      </c>
      <c r="C30" s="55">
        <v>4700</v>
      </c>
      <c r="D30" s="54">
        <f>C30/C7</f>
        <v>0.21845254722641955</v>
      </c>
      <c r="E30" s="2">
        <f>C30*12</f>
        <v>56400</v>
      </c>
    </row>
    <row r="31" spans="1:6" ht="15.6" x14ac:dyDescent="0.3">
      <c r="A31" s="57" t="s">
        <v>37</v>
      </c>
      <c r="B31" s="2" t="s">
        <v>30</v>
      </c>
      <c r="C31" s="7">
        <f>D31*C7</f>
        <v>1936.3473000000001</v>
      </c>
      <c r="D31" s="2">
        <v>0.09</v>
      </c>
      <c r="E31" s="7">
        <f>C31*12</f>
        <v>23236.167600000001</v>
      </c>
    </row>
    <row r="32" spans="1:6" ht="15.6" x14ac:dyDescent="0.3">
      <c r="A32" s="57" t="s">
        <v>38</v>
      </c>
      <c r="B32" s="2" t="s">
        <v>40</v>
      </c>
      <c r="C32" s="7">
        <f>D32*C7</f>
        <v>645.44910000000004</v>
      </c>
      <c r="D32" s="2">
        <v>0.03</v>
      </c>
      <c r="E32" s="7">
        <f>C32*12</f>
        <v>7745.3892000000005</v>
      </c>
    </row>
    <row r="33" spans="1:5" ht="15.6" x14ac:dyDescent="0.3">
      <c r="A33" s="57" t="s">
        <v>39</v>
      </c>
      <c r="B33" s="2" t="s">
        <v>41</v>
      </c>
      <c r="C33" s="7">
        <f>D33*C7</f>
        <v>14415.029900000001</v>
      </c>
      <c r="D33" s="2">
        <v>0.67</v>
      </c>
      <c r="E33" s="7">
        <f>C33*12</f>
        <v>172980.35880000002</v>
      </c>
    </row>
    <row r="34" spans="1:5" ht="31.2" x14ac:dyDescent="0.3">
      <c r="A34" s="65" t="s">
        <v>42</v>
      </c>
      <c r="B34" s="18" t="s">
        <v>43</v>
      </c>
      <c r="C34" s="22">
        <f>SUM(C35:C40)</f>
        <v>61188.466900000007</v>
      </c>
      <c r="D34" s="22">
        <f>SUM(D35:D40)</f>
        <v>2.8439949904647781</v>
      </c>
      <c r="E34" s="22">
        <f>SUM(E35:E40)</f>
        <v>734261.60279999999</v>
      </c>
    </row>
    <row r="35" spans="1:5" ht="15.6" x14ac:dyDescent="0.3">
      <c r="A35" s="57" t="s">
        <v>44</v>
      </c>
      <c r="B35" s="12" t="s">
        <v>73</v>
      </c>
      <c r="C35" s="7">
        <f>D35*C7</f>
        <v>54432.874100000001</v>
      </c>
      <c r="D35" s="2">
        <v>2.5299999999999998</v>
      </c>
      <c r="E35" s="7">
        <f>C35*12</f>
        <v>653194.48919999995</v>
      </c>
    </row>
    <row r="36" spans="1:5" ht="15.6" x14ac:dyDescent="0.3">
      <c r="A36" s="57" t="s">
        <v>46</v>
      </c>
      <c r="B36" s="58" t="s">
        <v>45</v>
      </c>
      <c r="C36" s="54">
        <f>D36*C7</f>
        <v>1936.3473000000001</v>
      </c>
      <c r="D36" s="55">
        <v>0.09</v>
      </c>
      <c r="E36" s="7">
        <f t="shared" ref="E36:E40" si="1">C36*12</f>
        <v>23236.167600000001</v>
      </c>
    </row>
    <row r="37" spans="1:5" ht="15.6" x14ac:dyDescent="0.3">
      <c r="A37" s="57" t="s">
        <v>47</v>
      </c>
      <c r="B37" s="55" t="s">
        <v>48</v>
      </c>
      <c r="C37" s="54">
        <f>D37*C7</f>
        <v>430.29940000000005</v>
      </c>
      <c r="D37" s="55">
        <v>0.02</v>
      </c>
      <c r="E37" s="7">
        <f t="shared" si="1"/>
        <v>5163.5928000000004</v>
      </c>
    </row>
    <row r="38" spans="1:5" ht="15.6" x14ac:dyDescent="0.3">
      <c r="A38" s="57" t="s">
        <v>49</v>
      </c>
      <c r="B38" s="55" t="s">
        <v>50</v>
      </c>
      <c r="C38" s="54">
        <f>D38*C7</f>
        <v>645.44910000000004</v>
      </c>
      <c r="D38" s="55">
        <v>0.03</v>
      </c>
      <c r="E38" s="7">
        <f t="shared" si="1"/>
        <v>7745.3892000000005</v>
      </c>
    </row>
    <row r="39" spans="1:5" ht="15.6" x14ac:dyDescent="0.3">
      <c r="A39" s="57" t="s">
        <v>51</v>
      </c>
      <c r="B39" s="55" t="s">
        <v>52</v>
      </c>
      <c r="C39" s="59">
        <f>E39/12</f>
        <v>1592</v>
      </c>
      <c r="D39" s="59">
        <f>C39/C7</f>
        <v>7.3994990464778712E-2</v>
      </c>
      <c r="E39" s="37">
        <f>C8*4*2</f>
        <v>19104</v>
      </c>
    </row>
    <row r="40" spans="1:5" ht="15.6" x14ac:dyDescent="0.3">
      <c r="A40" s="57" t="s">
        <v>53</v>
      </c>
      <c r="B40" s="55" t="s">
        <v>30</v>
      </c>
      <c r="C40" s="54">
        <f>D40*C7</f>
        <v>2151.4970000000003</v>
      </c>
      <c r="D40" s="55">
        <v>0.1</v>
      </c>
      <c r="E40" s="7">
        <f t="shared" si="1"/>
        <v>25817.964000000004</v>
      </c>
    </row>
    <row r="41" spans="1:5" ht="17.399999999999999" x14ac:dyDescent="0.3">
      <c r="A41" s="26" t="s">
        <v>68</v>
      </c>
      <c r="B41" s="16" t="s">
        <v>59</v>
      </c>
      <c r="C41" s="16">
        <f>D41*C7</f>
        <v>7730.4140433333496</v>
      </c>
      <c r="D41" s="22">
        <f>C9-D16-D23</f>
        <v>0.35930396571937351</v>
      </c>
      <c r="E41" s="22">
        <f>C41*12</f>
        <v>92764.968520000199</v>
      </c>
    </row>
    <row r="42" spans="1:5" ht="15.6" x14ac:dyDescent="0.3">
      <c r="A42" s="24" t="s">
        <v>77</v>
      </c>
      <c r="B42" s="2" t="s">
        <v>78</v>
      </c>
      <c r="C42" s="7">
        <f>E42/12</f>
        <v>4897.0808333333334</v>
      </c>
      <c r="D42" s="7">
        <f>C42/C7</f>
        <v>0.22761271957773277</v>
      </c>
      <c r="E42" s="55">
        <v>58764.97</v>
      </c>
    </row>
    <row r="43" spans="1:5" ht="15.6" x14ac:dyDescent="0.3">
      <c r="A43" s="24" t="s">
        <v>79</v>
      </c>
      <c r="B43" s="2" t="s">
        <v>163</v>
      </c>
      <c r="C43" s="7">
        <v>0</v>
      </c>
      <c r="D43" s="7">
        <v>0</v>
      </c>
      <c r="E43" s="55">
        <v>14000</v>
      </c>
    </row>
    <row r="44" spans="1:5" ht="15.6" x14ac:dyDescent="0.3">
      <c r="A44" s="24" t="s">
        <v>80</v>
      </c>
      <c r="B44" s="2" t="s">
        <v>164</v>
      </c>
      <c r="C44" s="7">
        <v>0</v>
      </c>
      <c r="D44" s="7">
        <v>0</v>
      </c>
      <c r="E44" s="55">
        <v>20000</v>
      </c>
    </row>
    <row r="45" spans="1:5" ht="15.6" x14ac:dyDescent="0.3">
      <c r="A45" s="24"/>
      <c r="B45" s="40" t="s">
        <v>70</v>
      </c>
      <c r="C45" s="41">
        <f>SUM(C42:C44)</f>
        <v>4897.0808333333334</v>
      </c>
      <c r="D45" s="41">
        <f>SUM(D42:D44)</f>
        <v>0.22761271957773277</v>
      </c>
      <c r="E45" s="40">
        <f>SUM(E42:E44)</f>
        <v>92764.97</v>
      </c>
    </row>
    <row r="46" spans="1:5" ht="15.6" x14ac:dyDescent="0.3">
      <c r="A46" s="31"/>
      <c r="B46" s="32" t="s">
        <v>60</v>
      </c>
      <c r="C46" s="30">
        <f>D46*C7</f>
        <v>182877.245</v>
      </c>
      <c r="D46" s="30">
        <f>D41+D23+D16</f>
        <v>8.5</v>
      </c>
      <c r="E46" s="30">
        <f>C46*12</f>
        <v>2194526.94</v>
      </c>
    </row>
    <row r="47" spans="1:5" ht="15.6" x14ac:dyDescent="0.3">
      <c r="A47" s="31" t="s">
        <v>69</v>
      </c>
      <c r="B47" s="16" t="s">
        <v>65</v>
      </c>
      <c r="C47" s="16">
        <f>D47*C7</f>
        <v>2950</v>
      </c>
      <c r="D47" s="22">
        <f>C10/C7/12</f>
        <v>0.13711383283360376</v>
      </c>
      <c r="E47" s="16">
        <f>C47*12</f>
        <v>35400</v>
      </c>
    </row>
    <row r="48" spans="1:5" ht="15.6" x14ac:dyDescent="0.3">
      <c r="A48" s="24" t="s">
        <v>74</v>
      </c>
      <c r="B48" s="2" t="s">
        <v>72</v>
      </c>
      <c r="C48" s="39">
        <f>E48/12</f>
        <v>2950</v>
      </c>
      <c r="D48" s="7">
        <f>C48/C7</f>
        <v>0.13711383283360376</v>
      </c>
      <c r="E48" s="55">
        <v>35400</v>
      </c>
    </row>
    <row r="49" spans="1:5" ht="15.6" x14ac:dyDescent="0.3">
      <c r="A49" s="4"/>
      <c r="B49" s="42" t="s">
        <v>70</v>
      </c>
      <c r="C49" s="42"/>
      <c r="D49" s="43">
        <f>SUM(D48:D48)</f>
        <v>0.13711383283360376</v>
      </c>
      <c r="E49" s="42"/>
    </row>
    <row r="50" spans="1:5" x14ac:dyDescent="0.3">
      <c r="A50" s="119" t="s">
        <v>166</v>
      </c>
      <c r="B50" s="120"/>
      <c r="C50" s="120"/>
      <c r="D50" s="120"/>
      <c r="E50" s="121"/>
    </row>
    <row r="51" spans="1:5" x14ac:dyDescent="0.3">
      <c r="A51" s="122"/>
      <c r="B51" s="123"/>
      <c r="C51" s="123"/>
      <c r="D51" s="123"/>
      <c r="E51" s="124"/>
    </row>
    <row r="52" spans="1:5" x14ac:dyDescent="0.3">
      <c r="A52" s="122"/>
      <c r="B52" s="123"/>
      <c r="C52" s="123"/>
      <c r="D52" s="123"/>
      <c r="E52" s="124"/>
    </row>
    <row r="53" spans="1:5" x14ac:dyDescent="0.3">
      <c r="A53" s="125"/>
      <c r="B53" s="126"/>
      <c r="C53" s="126"/>
      <c r="D53" s="126"/>
      <c r="E53" s="127"/>
    </row>
    <row r="54" spans="1:5" ht="40.5" customHeight="1" x14ac:dyDescent="0.3">
      <c r="A54" s="114" t="s">
        <v>167</v>
      </c>
      <c r="B54" s="115"/>
      <c r="C54" s="3"/>
      <c r="D54" s="3"/>
      <c r="E54" s="3"/>
    </row>
  </sheetData>
  <mergeCells count="18">
    <mergeCell ref="A10:B10"/>
    <mergeCell ref="C10:E10"/>
    <mergeCell ref="A50:E53"/>
    <mergeCell ref="A54:B54"/>
    <mergeCell ref="A7:B7"/>
    <mergeCell ref="C7:E7"/>
    <mergeCell ref="A13:B13"/>
    <mergeCell ref="C13:E13"/>
    <mergeCell ref="A14:E14"/>
    <mergeCell ref="A8:B8"/>
    <mergeCell ref="C8:E8"/>
    <mergeCell ref="A9:B9"/>
    <mergeCell ref="C9:E9"/>
    <mergeCell ref="A2:E4"/>
    <mergeCell ref="A5:B5"/>
    <mergeCell ref="C5:E5"/>
    <mergeCell ref="A6:B6"/>
    <mergeCell ref="C6:E6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9"/>
  <sheetViews>
    <sheetView topLeftCell="A31" workbookViewId="0">
      <selection activeCell="D50" sqref="D50"/>
    </sheetView>
  </sheetViews>
  <sheetFormatPr defaultRowHeight="13.8" x14ac:dyDescent="0.3"/>
  <cols>
    <col min="1" max="1" width="8.5546875" style="29" customWidth="1"/>
    <col min="2" max="2" width="51.88671875" customWidth="1"/>
    <col min="3" max="3" width="11.6640625" customWidth="1"/>
    <col min="4" max="4" width="11.88671875" customWidth="1"/>
    <col min="5" max="5" width="12.33203125" customWidth="1"/>
  </cols>
  <sheetData>
    <row r="2" spans="1:5" x14ac:dyDescent="0.3">
      <c r="A2" s="102" t="s">
        <v>115</v>
      </c>
      <c r="B2" s="102"/>
      <c r="C2" s="102"/>
      <c r="D2" s="102"/>
      <c r="E2" s="102"/>
    </row>
    <row r="3" spans="1:5" x14ac:dyDescent="0.3">
      <c r="A3" s="102"/>
      <c r="B3" s="102"/>
      <c r="C3" s="102"/>
      <c r="D3" s="102"/>
      <c r="E3" s="102"/>
    </row>
    <row r="4" spans="1:5" x14ac:dyDescent="0.3">
      <c r="A4" s="103"/>
      <c r="B4" s="103"/>
      <c r="C4" s="103"/>
      <c r="D4" s="103"/>
      <c r="E4" s="103"/>
    </row>
    <row r="5" spans="1:5" ht="15.6" x14ac:dyDescent="0.3">
      <c r="A5" s="97" t="s">
        <v>0</v>
      </c>
      <c r="B5" s="98"/>
      <c r="C5" s="97" t="s">
        <v>1</v>
      </c>
      <c r="D5" s="104"/>
      <c r="E5" s="98"/>
    </row>
    <row r="6" spans="1:5" ht="15.6" x14ac:dyDescent="0.3">
      <c r="A6" s="97" t="s">
        <v>2</v>
      </c>
      <c r="B6" s="98"/>
      <c r="C6" s="99">
        <v>1</v>
      </c>
      <c r="D6" s="100"/>
      <c r="E6" s="101"/>
    </row>
    <row r="7" spans="1:5" ht="15.6" x14ac:dyDescent="0.3">
      <c r="A7" s="97" t="s">
        <v>3</v>
      </c>
      <c r="B7" s="98"/>
      <c r="C7" s="99">
        <v>2197.8000000000002</v>
      </c>
      <c r="D7" s="100"/>
      <c r="E7" s="101"/>
    </row>
    <row r="8" spans="1:5" ht="15.6" x14ac:dyDescent="0.3">
      <c r="A8" s="97" t="s">
        <v>4</v>
      </c>
      <c r="B8" s="98"/>
      <c r="C8" s="99">
        <v>396</v>
      </c>
      <c r="D8" s="100"/>
      <c r="E8" s="101"/>
    </row>
    <row r="9" spans="1:5" ht="15.6" x14ac:dyDescent="0.3">
      <c r="A9" s="97" t="s">
        <v>5</v>
      </c>
      <c r="B9" s="98"/>
      <c r="C9" s="116">
        <v>9</v>
      </c>
      <c r="D9" s="117"/>
      <c r="E9" s="118"/>
    </row>
    <row r="10" spans="1:5" ht="15.6" x14ac:dyDescent="0.3">
      <c r="A10" s="97" t="s">
        <v>6</v>
      </c>
      <c r="B10" s="98"/>
      <c r="C10" s="99">
        <v>40000</v>
      </c>
      <c r="D10" s="100"/>
      <c r="E10" s="101"/>
    </row>
    <row r="11" spans="1:5" ht="15.6" x14ac:dyDescent="0.3">
      <c r="A11" s="50"/>
      <c r="B11" s="51" t="s">
        <v>56</v>
      </c>
      <c r="C11" s="50"/>
      <c r="D11" s="52">
        <f>C7*C9</f>
        <v>19780.2</v>
      </c>
      <c r="E11" s="51"/>
    </row>
    <row r="12" spans="1:5" ht="15.6" x14ac:dyDescent="0.3">
      <c r="A12" s="50"/>
      <c r="B12" s="51" t="s">
        <v>64</v>
      </c>
      <c r="C12" s="50"/>
      <c r="D12" s="70">
        <f>D11+(C10/12)</f>
        <v>23113.533333333333</v>
      </c>
      <c r="E12" s="51"/>
    </row>
    <row r="13" spans="1:5" ht="15.6" x14ac:dyDescent="0.3">
      <c r="A13" s="97" t="s">
        <v>7</v>
      </c>
      <c r="B13" s="98"/>
      <c r="C13" s="97">
        <f>(C7*C9*12)+C10</f>
        <v>277362.40000000002</v>
      </c>
      <c r="D13" s="104"/>
      <c r="E13" s="98"/>
    </row>
    <row r="14" spans="1:5" ht="15.6" x14ac:dyDescent="0.3">
      <c r="A14" s="97" t="s">
        <v>8</v>
      </c>
      <c r="B14" s="104"/>
      <c r="C14" s="104"/>
      <c r="D14" s="104"/>
      <c r="E14" s="98"/>
    </row>
    <row r="15" spans="1:5" ht="46.8" x14ac:dyDescent="0.3">
      <c r="A15" s="4"/>
      <c r="B15" s="10" t="s">
        <v>12</v>
      </c>
      <c r="C15" s="10" t="s">
        <v>13</v>
      </c>
      <c r="D15" s="11" t="s">
        <v>14</v>
      </c>
      <c r="E15" s="10" t="s">
        <v>15</v>
      </c>
    </row>
    <row r="16" spans="1:5" ht="18" x14ac:dyDescent="0.35">
      <c r="A16" s="23">
        <v>1</v>
      </c>
      <c r="B16" s="14" t="s">
        <v>9</v>
      </c>
      <c r="C16" s="21">
        <f>C17+C18</f>
        <v>6034.5099800000007</v>
      </c>
      <c r="D16" s="21">
        <f>D17+D18</f>
        <v>2.8508714684381351</v>
      </c>
      <c r="E16" s="21">
        <f>E17+E18</f>
        <v>72414.119760000001</v>
      </c>
    </row>
    <row r="17" spans="1:5" ht="15.6" x14ac:dyDescent="0.3">
      <c r="A17" s="24" t="s">
        <v>10</v>
      </c>
      <c r="B17" s="8" t="s">
        <v>11</v>
      </c>
      <c r="C17" s="54">
        <f>(D11*12.59%)+(C10*12.59%/12)</f>
        <v>2909.9938466666672</v>
      </c>
      <c r="D17" s="7">
        <f>C17/C7</f>
        <v>1.3240485242818578</v>
      </c>
      <c r="E17" s="7">
        <f>C17*12</f>
        <v>34919.926160000003</v>
      </c>
    </row>
    <row r="18" spans="1:5" ht="15.6" x14ac:dyDescent="0.3">
      <c r="A18" s="4" t="s">
        <v>16</v>
      </c>
      <c r="B18" s="8" t="s">
        <v>17</v>
      </c>
      <c r="C18" s="20">
        <f>SUM(C19:C21)</f>
        <v>3124.5161333333335</v>
      </c>
      <c r="D18" s="20">
        <f>SUM(D19:D22)</f>
        <v>1.5268229441562775</v>
      </c>
      <c r="E18" s="20">
        <f t="shared" ref="E18" si="0">SUM(E19:E21)</f>
        <v>37494.193600000006</v>
      </c>
    </row>
    <row r="19" spans="1:5" ht="15.6" x14ac:dyDescent="0.3">
      <c r="A19" s="24" t="s">
        <v>18</v>
      </c>
      <c r="B19" s="8" t="s">
        <v>19</v>
      </c>
      <c r="C19" s="54">
        <f>E19/12</f>
        <v>1858.5833333333333</v>
      </c>
      <c r="D19" s="54">
        <f>C19/C7</f>
        <v>0.8456562623229289</v>
      </c>
      <c r="E19" s="54">
        <v>22303</v>
      </c>
    </row>
    <row r="20" spans="1:5" ht="42" x14ac:dyDescent="0.3">
      <c r="A20" s="24" t="s">
        <v>20</v>
      </c>
      <c r="B20" s="13" t="s">
        <v>21</v>
      </c>
      <c r="C20" s="7">
        <f>D20*C7</f>
        <v>593.40600000000006</v>
      </c>
      <c r="D20" s="2">
        <v>0.27</v>
      </c>
      <c r="E20" s="7">
        <f>C20*12</f>
        <v>7120.8720000000012</v>
      </c>
    </row>
    <row r="21" spans="1:5" ht="15.6" x14ac:dyDescent="0.3">
      <c r="A21" s="24" t="s">
        <v>22</v>
      </c>
      <c r="B21" s="8" t="s">
        <v>23</v>
      </c>
      <c r="C21" s="7">
        <f>D11*3.4%</f>
        <v>672.52680000000009</v>
      </c>
      <c r="D21" s="7">
        <f>C21/C7</f>
        <v>0.30599999999999999</v>
      </c>
      <c r="E21" s="7">
        <f>C21*12</f>
        <v>8070.3216000000011</v>
      </c>
    </row>
    <row r="22" spans="1:5" ht="15.6" x14ac:dyDescent="0.3">
      <c r="A22" s="24" t="s">
        <v>66</v>
      </c>
      <c r="B22" s="8" t="s">
        <v>67</v>
      </c>
      <c r="C22" s="7">
        <f>E22/12</f>
        <v>231.13533333333336</v>
      </c>
      <c r="D22" s="7">
        <f>C22/C7</f>
        <v>0.1051666818333485</v>
      </c>
      <c r="E22" s="7">
        <f>C13*1%</f>
        <v>2773.6240000000003</v>
      </c>
    </row>
    <row r="23" spans="1:5" ht="18" x14ac:dyDescent="0.35">
      <c r="A23" s="25" t="s">
        <v>24</v>
      </c>
      <c r="B23" s="14" t="s">
        <v>25</v>
      </c>
      <c r="C23" s="21">
        <f>C24+C28+C34</f>
        <v>13622.108666666667</v>
      </c>
      <c r="D23" s="21">
        <f>D24+D28+D34</f>
        <v>6.1980656413989736</v>
      </c>
      <c r="E23" s="21">
        <f>E24+E28+E34</f>
        <v>163465.304</v>
      </c>
    </row>
    <row r="24" spans="1:5" ht="17.399999999999999" x14ac:dyDescent="0.3">
      <c r="A24" s="26" t="s">
        <v>26</v>
      </c>
      <c r="B24" s="15" t="s">
        <v>27</v>
      </c>
      <c r="C24" s="22">
        <f>SUM(C25:C27)</f>
        <v>512.79066666666665</v>
      </c>
      <c r="D24" s="22">
        <f>SUM(D25:D27)</f>
        <v>0.23331998665331996</v>
      </c>
      <c r="E24" s="22">
        <f>SUM(E25:E27)</f>
        <v>6153.4880000000012</v>
      </c>
    </row>
    <row r="25" spans="1:5" ht="15.6" x14ac:dyDescent="0.3">
      <c r="A25" s="24" t="s">
        <v>28</v>
      </c>
      <c r="B25" s="13" t="s">
        <v>61</v>
      </c>
      <c r="C25" s="7">
        <f>D25*C7</f>
        <v>395.60400000000004</v>
      </c>
      <c r="D25" s="2">
        <v>0.18</v>
      </c>
      <c r="E25" s="7">
        <f>C25*12</f>
        <v>4747.2480000000005</v>
      </c>
    </row>
    <row r="26" spans="1:5" ht="15.6" x14ac:dyDescent="0.3">
      <c r="A26" s="24" t="s">
        <v>29</v>
      </c>
      <c r="B26" s="2" t="s">
        <v>30</v>
      </c>
      <c r="C26" s="7">
        <f>D26*C7</f>
        <v>109.89000000000001</v>
      </c>
      <c r="D26" s="2">
        <v>0.05</v>
      </c>
      <c r="E26" s="7">
        <f>C26*12</f>
        <v>1318.6800000000003</v>
      </c>
    </row>
    <row r="27" spans="1:5" ht="15.6" x14ac:dyDescent="0.3">
      <c r="A27" s="57" t="s">
        <v>31</v>
      </c>
      <c r="B27" s="55" t="s">
        <v>57</v>
      </c>
      <c r="C27" s="7">
        <f>E27/12</f>
        <v>7.2966666666666669</v>
      </c>
      <c r="D27" s="19">
        <f>C27/C7</f>
        <v>3.3199866533199862E-3</v>
      </c>
      <c r="E27" s="55">
        <f>87.56*1</f>
        <v>87.56</v>
      </c>
    </row>
    <row r="28" spans="1:5" ht="17.399999999999999" x14ac:dyDescent="0.3">
      <c r="A28" s="26" t="s">
        <v>32</v>
      </c>
      <c r="B28" s="17" t="s">
        <v>33</v>
      </c>
      <c r="C28" s="22">
        <f>SUM(C29:C33)</f>
        <v>6757.4120000000003</v>
      </c>
      <c r="D28" s="22">
        <f>SUM(D29:D33)</f>
        <v>3.0746255346255342</v>
      </c>
      <c r="E28" s="22">
        <f>SUM(E29:E33)</f>
        <v>81088.944000000018</v>
      </c>
    </row>
    <row r="29" spans="1:5" ht="15.6" x14ac:dyDescent="0.3">
      <c r="A29" s="24" t="s">
        <v>34</v>
      </c>
      <c r="B29" s="13" t="s">
        <v>62</v>
      </c>
      <c r="C29" s="7">
        <f>D29*C7</f>
        <v>3846.1500000000005</v>
      </c>
      <c r="D29" s="2">
        <v>1.75</v>
      </c>
      <c r="E29" s="7">
        <f>C29*12</f>
        <v>46153.8</v>
      </c>
    </row>
    <row r="30" spans="1:5" ht="15.6" x14ac:dyDescent="0.3">
      <c r="A30" s="57" t="s">
        <v>35</v>
      </c>
      <c r="B30" s="55" t="s">
        <v>36</v>
      </c>
      <c r="C30" s="55">
        <v>1175</v>
      </c>
      <c r="D30" s="7">
        <f>C30/C7</f>
        <v>0.53462553462553453</v>
      </c>
      <c r="E30" s="2">
        <f>C30*12</f>
        <v>14100</v>
      </c>
    </row>
    <row r="31" spans="1:5" ht="15.6" x14ac:dyDescent="0.3">
      <c r="A31" s="57" t="s">
        <v>37</v>
      </c>
      <c r="B31" s="2" t="s">
        <v>30</v>
      </c>
      <c r="C31" s="7">
        <f>D31*C7</f>
        <v>197.80200000000002</v>
      </c>
      <c r="D31" s="2">
        <v>0.09</v>
      </c>
      <c r="E31" s="7">
        <f>C31*12</f>
        <v>2373.6240000000003</v>
      </c>
    </row>
    <row r="32" spans="1:5" ht="15.6" x14ac:dyDescent="0.3">
      <c r="A32" s="57" t="s">
        <v>38</v>
      </c>
      <c r="B32" s="2" t="s">
        <v>40</v>
      </c>
      <c r="C32" s="7">
        <f>D32*C7</f>
        <v>65.933999999999997</v>
      </c>
      <c r="D32" s="2">
        <v>0.03</v>
      </c>
      <c r="E32" s="7">
        <f>C32*12</f>
        <v>791.20799999999997</v>
      </c>
    </row>
    <row r="33" spans="1:5" ht="15.6" x14ac:dyDescent="0.3">
      <c r="A33" s="57" t="s">
        <v>39</v>
      </c>
      <c r="B33" s="2" t="s">
        <v>41</v>
      </c>
      <c r="C33" s="7">
        <f>D33*C7</f>
        <v>1472.5260000000003</v>
      </c>
      <c r="D33" s="2">
        <v>0.67</v>
      </c>
      <c r="E33" s="7">
        <f>C33*12</f>
        <v>17670.312000000005</v>
      </c>
    </row>
    <row r="34" spans="1:5" ht="31.2" x14ac:dyDescent="0.3">
      <c r="A34" s="26" t="s">
        <v>42</v>
      </c>
      <c r="B34" s="18" t="s">
        <v>43</v>
      </c>
      <c r="C34" s="22">
        <f>SUM(C35:C40)</f>
        <v>6351.9059999999999</v>
      </c>
      <c r="D34" s="22">
        <f>SUM(D35:D40)</f>
        <v>2.8901201201201197</v>
      </c>
      <c r="E34" s="22">
        <f>SUM(E35:E40)</f>
        <v>76222.871999999988</v>
      </c>
    </row>
    <row r="35" spans="1:5" ht="27" x14ac:dyDescent="0.3">
      <c r="A35" s="24" t="s">
        <v>44</v>
      </c>
      <c r="B35" s="12" t="s">
        <v>73</v>
      </c>
      <c r="C35" s="7">
        <f>D35*C7</f>
        <v>5560.4340000000002</v>
      </c>
      <c r="D35" s="2">
        <v>2.5299999999999998</v>
      </c>
      <c r="E35" s="7">
        <f>C35*12</f>
        <v>66725.207999999999</v>
      </c>
    </row>
    <row r="36" spans="1:5" ht="15.6" x14ac:dyDescent="0.3">
      <c r="A36" s="24" t="s">
        <v>46</v>
      </c>
      <c r="B36" s="58" t="s">
        <v>45</v>
      </c>
      <c r="C36" s="7">
        <f>D36*C7</f>
        <v>197.80200000000002</v>
      </c>
      <c r="D36" s="2">
        <v>0.09</v>
      </c>
      <c r="E36" s="7">
        <f t="shared" ref="E36:E40" si="1">C36*12</f>
        <v>2373.6240000000003</v>
      </c>
    </row>
    <row r="37" spans="1:5" ht="15.6" x14ac:dyDescent="0.3">
      <c r="A37" s="24" t="s">
        <v>47</v>
      </c>
      <c r="B37" s="55" t="s">
        <v>48</v>
      </c>
      <c r="C37" s="7">
        <f>D37*C7</f>
        <v>43.956000000000003</v>
      </c>
      <c r="D37" s="2">
        <v>0.02</v>
      </c>
      <c r="E37" s="7">
        <f t="shared" si="1"/>
        <v>527.47199999999998</v>
      </c>
    </row>
    <row r="38" spans="1:5" ht="15.6" x14ac:dyDescent="0.3">
      <c r="A38" s="24" t="s">
        <v>49</v>
      </c>
      <c r="B38" s="55" t="s">
        <v>50</v>
      </c>
      <c r="C38" s="7">
        <f>D38*C7</f>
        <v>65.933999999999997</v>
      </c>
      <c r="D38" s="2">
        <v>0.03</v>
      </c>
      <c r="E38" s="7">
        <f t="shared" si="1"/>
        <v>791.20799999999997</v>
      </c>
    </row>
    <row r="39" spans="1:5" ht="15.6" x14ac:dyDescent="0.3">
      <c r="A39" s="57" t="s">
        <v>51</v>
      </c>
      <c r="B39" s="55" t="s">
        <v>52</v>
      </c>
      <c r="C39" s="37">
        <f>E39/12</f>
        <v>264</v>
      </c>
      <c r="D39" s="59">
        <f>C39/C7</f>
        <v>0.12012012012012011</v>
      </c>
      <c r="E39" s="37">
        <f>C8*4*2</f>
        <v>3168</v>
      </c>
    </row>
    <row r="40" spans="1:5" ht="15.6" x14ac:dyDescent="0.3">
      <c r="A40" s="24" t="s">
        <v>53</v>
      </c>
      <c r="B40" s="55" t="s">
        <v>30</v>
      </c>
      <c r="C40" s="7">
        <f>D40*C7</f>
        <v>219.78000000000003</v>
      </c>
      <c r="D40" s="2">
        <v>0.1</v>
      </c>
      <c r="E40" s="7">
        <f t="shared" si="1"/>
        <v>2637.3600000000006</v>
      </c>
    </row>
    <row r="41" spans="1:5" ht="17.399999999999999" x14ac:dyDescent="0.3">
      <c r="A41" s="26" t="s">
        <v>68</v>
      </c>
      <c r="B41" s="16" t="s">
        <v>59</v>
      </c>
      <c r="C41" s="22">
        <f>D41*C7</f>
        <v>-107.55397999999762</v>
      </c>
      <c r="D41" s="22">
        <f>C9-D16-D23</f>
        <v>-4.893710983710875E-2</v>
      </c>
      <c r="E41" s="22">
        <f>C41*12</f>
        <v>-1290.6477599999714</v>
      </c>
    </row>
    <row r="42" spans="1:5" ht="15.6" x14ac:dyDescent="0.3">
      <c r="A42" s="31"/>
      <c r="B42" s="32" t="s">
        <v>60</v>
      </c>
      <c r="C42" s="30">
        <f>D42*C7</f>
        <v>19780.2</v>
      </c>
      <c r="D42" s="30">
        <f>D41+D23+D16</f>
        <v>9</v>
      </c>
      <c r="E42" s="30">
        <f>C42*12</f>
        <v>237362.40000000002</v>
      </c>
    </row>
    <row r="43" spans="1:5" ht="15.6" x14ac:dyDescent="0.3">
      <c r="A43" s="31" t="s">
        <v>69</v>
      </c>
      <c r="B43" s="16" t="s">
        <v>65</v>
      </c>
      <c r="C43" s="16">
        <f>D43*C7</f>
        <v>3333.3333333333335</v>
      </c>
      <c r="D43" s="22">
        <f>C10/C7/12</f>
        <v>1.5166681833348499</v>
      </c>
      <c r="E43" s="16">
        <f>C43*12</f>
        <v>40000</v>
      </c>
    </row>
    <row r="44" spans="1:5" ht="15.6" x14ac:dyDescent="0.3">
      <c r="A44" s="24" t="s">
        <v>74</v>
      </c>
      <c r="B44" s="55" t="s">
        <v>72</v>
      </c>
      <c r="C44" s="76">
        <f>E44/12</f>
        <v>1666.6666666666667</v>
      </c>
      <c r="D44" s="54">
        <f>C44/C7</f>
        <v>0.75833409166742494</v>
      </c>
      <c r="E44" s="55">
        <v>20000</v>
      </c>
    </row>
    <row r="45" spans="1:5" ht="15.6" x14ac:dyDescent="0.3">
      <c r="A45" s="24" t="s">
        <v>75</v>
      </c>
      <c r="B45" s="55" t="s">
        <v>78</v>
      </c>
      <c r="C45" s="76">
        <f>E45/12</f>
        <v>1666.6666666666667</v>
      </c>
      <c r="D45" s="54">
        <f>C45/C7</f>
        <v>0.75833409166742494</v>
      </c>
      <c r="E45" s="55">
        <v>20000</v>
      </c>
    </row>
    <row r="46" spans="1:5" ht="12.75" customHeight="1" x14ac:dyDescent="0.3">
      <c r="A46" s="105" t="s">
        <v>166</v>
      </c>
      <c r="B46" s="106"/>
      <c r="C46" s="106"/>
      <c r="D46" s="106"/>
      <c r="E46" s="107"/>
    </row>
    <row r="47" spans="1:5" ht="16.5" customHeight="1" x14ac:dyDescent="0.3">
      <c r="A47" s="108"/>
      <c r="B47" s="109"/>
      <c r="C47" s="109"/>
      <c r="D47" s="109"/>
      <c r="E47" s="110"/>
    </row>
    <row r="48" spans="1:5" ht="17.25" customHeight="1" x14ac:dyDescent="0.3">
      <c r="A48" s="111"/>
      <c r="B48" s="112"/>
      <c r="C48" s="112"/>
      <c r="D48" s="112"/>
      <c r="E48" s="113"/>
    </row>
    <row r="49" spans="1:5" ht="42" customHeight="1" x14ac:dyDescent="0.3">
      <c r="A49" s="114" t="s">
        <v>167</v>
      </c>
      <c r="B49" s="115"/>
      <c r="C49" s="3"/>
      <c r="D49" s="3"/>
      <c r="E49" s="3"/>
    </row>
  </sheetData>
  <mergeCells count="18">
    <mergeCell ref="A10:B10"/>
    <mergeCell ref="C10:E10"/>
    <mergeCell ref="A46:E48"/>
    <mergeCell ref="A49:B49"/>
    <mergeCell ref="A7:B7"/>
    <mergeCell ref="C7:E7"/>
    <mergeCell ref="A13:B13"/>
    <mergeCell ref="C13:E13"/>
    <mergeCell ref="A14:E14"/>
    <mergeCell ref="A8:B8"/>
    <mergeCell ref="C8:E8"/>
    <mergeCell ref="A9:B9"/>
    <mergeCell ref="C9:E9"/>
    <mergeCell ref="A2:E4"/>
    <mergeCell ref="A5:B5"/>
    <mergeCell ref="C5:E5"/>
    <mergeCell ref="A6:B6"/>
    <mergeCell ref="C6:E6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57"/>
  <sheetViews>
    <sheetView workbookViewId="0">
      <selection activeCell="F10" sqref="F10:J10"/>
    </sheetView>
  </sheetViews>
  <sheetFormatPr defaultRowHeight="13.8" x14ac:dyDescent="0.3"/>
  <cols>
    <col min="1" max="1" width="8.5546875" style="29" customWidth="1"/>
    <col min="2" max="2" width="81.109375" customWidth="1"/>
    <col min="3" max="3" width="11.6640625" customWidth="1"/>
    <col min="4" max="4" width="11.88671875" customWidth="1"/>
    <col min="5" max="5" width="12.33203125" customWidth="1"/>
  </cols>
  <sheetData>
    <row r="2" spans="1:10" x14ac:dyDescent="0.3">
      <c r="A2" s="102" t="s">
        <v>178</v>
      </c>
      <c r="B2" s="102"/>
      <c r="C2" s="102"/>
      <c r="D2" s="102"/>
      <c r="E2" s="102"/>
    </row>
    <row r="3" spans="1:10" x14ac:dyDescent="0.3">
      <c r="A3" s="102"/>
      <c r="B3" s="102"/>
      <c r="C3" s="102"/>
      <c r="D3" s="102"/>
      <c r="E3" s="102"/>
    </row>
    <row r="4" spans="1:10" x14ac:dyDescent="0.3">
      <c r="A4" s="103"/>
      <c r="B4" s="103"/>
      <c r="C4" s="103"/>
      <c r="D4" s="103"/>
      <c r="E4" s="103"/>
    </row>
    <row r="5" spans="1:10" ht="15.6" x14ac:dyDescent="0.3">
      <c r="A5" s="97" t="s">
        <v>0</v>
      </c>
      <c r="B5" s="98"/>
      <c r="C5" s="97" t="s">
        <v>1</v>
      </c>
      <c r="D5" s="104"/>
      <c r="E5" s="98"/>
    </row>
    <row r="6" spans="1:10" ht="15.6" x14ac:dyDescent="0.3">
      <c r="A6" s="97" t="s">
        <v>2</v>
      </c>
      <c r="B6" s="98"/>
      <c r="C6" s="133">
        <v>8</v>
      </c>
      <c r="D6" s="134"/>
      <c r="E6" s="135"/>
    </row>
    <row r="7" spans="1:10" ht="15.6" x14ac:dyDescent="0.3">
      <c r="A7" s="97" t="s">
        <v>3</v>
      </c>
      <c r="B7" s="98"/>
      <c r="C7" s="133">
        <v>15276.46</v>
      </c>
      <c r="D7" s="134"/>
      <c r="E7" s="135"/>
    </row>
    <row r="8" spans="1:10" ht="15.6" x14ac:dyDescent="0.3">
      <c r="A8" s="97" t="s">
        <v>4</v>
      </c>
      <c r="B8" s="98"/>
      <c r="C8" s="133">
        <v>1668</v>
      </c>
      <c r="D8" s="134"/>
      <c r="E8" s="135"/>
    </row>
    <row r="9" spans="1:10" ht="15.6" x14ac:dyDescent="0.3">
      <c r="A9" s="97" t="s">
        <v>5</v>
      </c>
      <c r="B9" s="98"/>
      <c r="C9" s="133">
        <v>10.46</v>
      </c>
      <c r="D9" s="134"/>
      <c r="E9" s="135"/>
    </row>
    <row r="10" spans="1:10" ht="15.6" x14ac:dyDescent="0.3">
      <c r="A10" s="97" t="s">
        <v>6</v>
      </c>
      <c r="B10" s="98"/>
      <c r="C10" s="133">
        <v>320400</v>
      </c>
      <c r="D10" s="134"/>
      <c r="E10" s="135"/>
      <c r="F10" s="131"/>
      <c r="G10" s="132"/>
      <c r="H10" s="132"/>
      <c r="I10" s="132"/>
      <c r="J10" s="132"/>
    </row>
    <row r="11" spans="1:10" ht="15.6" x14ac:dyDescent="0.3">
      <c r="A11" s="50"/>
      <c r="B11" s="51" t="s">
        <v>56</v>
      </c>
      <c r="C11" s="50"/>
      <c r="D11" s="52">
        <f>C7*C9</f>
        <v>159791.77160000001</v>
      </c>
      <c r="E11" s="51"/>
    </row>
    <row r="12" spans="1:10" ht="15.6" x14ac:dyDescent="0.3">
      <c r="A12" s="50"/>
      <c r="B12" s="51" t="s">
        <v>64</v>
      </c>
      <c r="C12" s="50"/>
      <c r="D12" s="52">
        <f>D11+(C10/12)</f>
        <v>186491.77160000001</v>
      </c>
      <c r="E12" s="51"/>
    </row>
    <row r="13" spans="1:10" ht="15.6" x14ac:dyDescent="0.3">
      <c r="A13" s="97" t="s">
        <v>7</v>
      </c>
      <c r="B13" s="98"/>
      <c r="C13" s="128">
        <f>(C7*C9*12)+C10</f>
        <v>2237901.2592000002</v>
      </c>
      <c r="D13" s="129"/>
      <c r="E13" s="130"/>
    </row>
    <row r="14" spans="1:10" ht="15.6" x14ac:dyDescent="0.3">
      <c r="A14" s="97" t="s">
        <v>8</v>
      </c>
      <c r="B14" s="104"/>
      <c r="C14" s="104"/>
      <c r="D14" s="104"/>
      <c r="E14" s="98"/>
    </row>
    <row r="15" spans="1:10" ht="46.8" x14ac:dyDescent="0.3">
      <c r="A15" s="4"/>
      <c r="B15" s="10" t="s">
        <v>12</v>
      </c>
      <c r="C15" s="10" t="s">
        <v>13</v>
      </c>
      <c r="D15" s="11" t="s">
        <v>14</v>
      </c>
      <c r="E15" s="10" t="s">
        <v>15</v>
      </c>
    </row>
    <row r="16" spans="1:10" ht="18" x14ac:dyDescent="0.35">
      <c r="A16" s="23">
        <v>1</v>
      </c>
      <c r="B16" s="14" t="s">
        <v>9</v>
      </c>
      <c r="C16" s="21">
        <f>C17+C18</f>
        <v>42769.09558186667</v>
      </c>
      <c r="D16" s="21">
        <f>D17+D18</f>
        <v>2.9217510665341755</v>
      </c>
      <c r="E16" s="21">
        <f>E17+E18</f>
        <v>513229.1469824001</v>
      </c>
    </row>
    <row r="17" spans="1:5" ht="15.6" x14ac:dyDescent="0.3">
      <c r="A17" s="24" t="s">
        <v>10</v>
      </c>
      <c r="B17" s="8" t="s">
        <v>11</v>
      </c>
      <c r="C17" s="54">
        <f>(D11*13.8%)+(C10*13.8%/12)</f>
        <v>25735.864480800003</v>
      </c>
      <c r="D17" s="54">
        <f>C17/C7</f>
        <v>1.6846746223143323</v>
      </c>
      <c r="E17" s="54">
        <f>C17*12</f>
        <v>308830.37376960006</v>
      </c>
    </row>
    <row r="18" spans="1:5" ht="15.6" x14ac:dyDescent="0.3">
      <c r="A18" s="4" t="s">
        <v>16</v>
      </c>
      <c r="B18" s="8" t="s">
        <v>17</v>
      </c>
      <c r="C18" s="62">
        <f>SUM(C19:C21)</f>
        <v>17033.231101066667</v>
      </c>
      <c r="D18" s="62">
        <f>SUM(D19:D22)</f>
        <v>1.2370764442198432</v>
      </c>
      <c r="E18" s="62">
        <f t="shared" ref="E18" si="0">SUM(E19:E21)</f>
        <v>204398.77321280001</v>
      </c>
    </row>
    <row r="19" spans="1:5" ht="15.6" x14ac:dyDescent="0.3">
      <c r="A19" s="24" t="s">
        <v>18</v>
      </c>
      <c r="B19" s="8" t="s">
        <v>19</v>
      </c>
      <c r="C19" s="54">
        <f>E19/12</f>
        <v>7475.666666666667</v>
      </c>
      <c r="D19" s="54">
        <f>C19/C7</f>
        <v>0.48935857303764535</v>
      </c>
      <c r="E19" s="54">
        <v>89708</v>
      </c>
    </row>
    <row r="20" spans="1:5" ht="28.2" x14ac:dyDescent="0.3">
      <c r="A20" s="24" t="s">
        <v>20</v>
      </c>
      <c r="B20" s="13" t="s">
        <v>21</v>
      </c>
      <c r="C20" s="54">
        <f>D20*C7</f>
        <v>4124.6441999999997</v>
      </c>
      <c r="D20" s="55">
        <v>0.27</v>
      </c>
      <c r="E20" s="54">
        <f>C20*12</f>
        <v>49495.7304</v>
      </c>
    </row>
    <row r="21" spans="1:5" ht="15.6" x14ac:dyDescent="0.3">
      <c r="A21" s="24" t="s">
        <v>22</v>
      </c>
      <c r="B21" s="8" t="s">
        <v>23</v>
      </c>
      <c r="C21" s="7">
        <f>D11*3.4%</f>
        <v>5432.9202344000005</v>
      </c>
      <c r="D21" s="7">
        <f>C21/C7</f>
        <v>0.35564000000000007</v>
      </c>
      <c r="E21" s="7">
        <f>C21*12</f>
        <v>65195.042812800006</v>
      </c>
    </row>
    <row r="22" spans="1:5" ht="15.6" x14ac:dyDescent="0.3">
      <c r="A22" s="24" t="s">
        <v>66</v>
      </c>
      <c r="B22" s="8" t="s">
        <v>67</v>
      </c>
      <c r="C22" s="7">
        <f>E22/12</f>
        <v>1864.9177160000002</v>
      </c>
      <c r="D22" s="7">
        <f>C22/C7</f>
        <v>0.12207787118219798</v>
      </c>
      <c r="E22" s="7">
        <f>C13*1%</f>
        <v>22379.012592000003</v>
      </c>
    </row>
    <row r="23" spans="1:5" ht="18" x14ac:dyDescent="0.35">
      <c r="A23" s="25" t="s">
        <v>24</v>
      </c>
      <c r="B23" s="14" t="s">
        <v>25</v>
      </c>
      <c r="C23" s="21">
        <f>C24+C28+C34</f>
        <v>90472.775066666654</v>
      </c>
      <c r="D23" s="21">
        <f>D24+D28+D34</f>
        <v>5.9223651989182482</v>
      </c>
      <c r="E23" s="21">
        <f>E24+E28+E34</f>
        <v>1085673.3007999999</v>
      </c>
    </row>
    <row r="24" spans="1:5" ht="17.399999999999999" x14ac:dyDescent="0.3">
      <c r="A24" s="26" t="s">
        <v>26</v>
      </c>
      <c r="B24" s="15" t="s">
        <v>27</v>
      </c>
      <c r="C24" s="22">
        <f>SUM(C25:C27)</f>
        <v>3542.7724666666659</v>
      </c>
      <c r="D24" s="22">
        <f>SUM(D25:D27)</f>
        <v>0.23191056479489794</v>
      </c>
      <c r="E24" s="22">
        <f>SUM(E25:E27)</f>
        <v>42513.269599999992</v>
      </c>
    </row>
    <row r="25" spans="1:5" ht="15.6" x14ac:dyDescent="0.3">
      <c r="A25" s="24" t="s">
        <v>28</v>
      </c>
      <c r="B25" s="13" t="s">
        <v>61</v>
      </c>
      <c r="C25" s="7">
        <f>D25*C7</f>
        <v>2749.7627999999995</v>
      </c>
      <c r="D25" s="2">
        <v>0.18</v>
      </c>
      <c r="E25" s="7">
        <f>C25*12</f>
        <v>32997.153599999991</v>
      </c>
    </row>
    <row r="26" spans="1:5" ht="15.6" x14ac:dyDescent="0.3">
      <c r="A26" s="24" t="s">
        <v>29</v>
      </c>
      <c r="B26" s="2" t="s">
        <v>30</v>
      </c>
      <c r="C26" s="7">
        <f>D26*C7</f>
        <v>763.82299999999998</v>
      </c>
      <c r="D26" s="2">
        <v>0.05</v>
      </c>
      <c r="E26" s="7">
        <f>C26*12</f>
        <v>9165.8760000000002</v>
      </c>
    </row>
    <row r="27" spans="1:5" ht="15.6" x14ac:dyDescent="0.3">
      <c r="A27" s="57" t="s">
        <v>31</v>
      </c>
      <c r="B27" s="55" t="s">
        <v>57</v>
      </c>
      <c r="C27" s="54">
        <f>E27/12</f>
        <v>29.186666666666667</v>
      </c>
      <c r="D27" s="56">
        <f>C27/C7</f>
        <v>1.9105647948979454E-3</v>
      </c>
      <c r="E27" s="55">
        <f>87.56*4</f>
        <v>350.24</v>
      </c>
    </row>
    <row r="28" spans="1:5" ht="17.399999999999999" x14ac:dyDescent="0.3">
      <c r="A28" s="65" t="s">
        <v>32</v>
      </c>
      <c r="B28" s="17" t="s">
        <v>33</v>
      </c>
      <c r="C28" s="22">
        <f>SUM(C29:C33)</f>
        <v>43502.208399999996</v>
      </c>
      <c r="D28" s="22">
        <f>SUM(D29:D33)</f>
        <v>2.8476629009600387</v>
      </c>
      <c r="E28" s="22">
        <f>SUM(E29:E33)</f>
        <v>522026.50080000004</v>
      </c>
    </row>
    <row r="29" spans="1:5" ht="15.6" x14ac:dyDescent="0.3">
      <c r="A29" s="57" t="s">
        <v>34</v>
      </c>
      <c r="B29" s="13" t="s">
        <v>62</v>
      </c>
      <c r="C29" s="7">
        <f>D29*C7</f>
        <v>26733.805</v>
      </c>
      <c r="D29" s="2">
        <v>1.75</v>
      </c>
      <c r="E29" s="7">
        <f>C29*12</f>
        <v>320805.66000000003</v>
      </c>
    </row>
    <row r="30" spans="1:5" ht="15.6" x14ac:dyDescent="0.3">
      <c r="A30" s="57" t="s">
        <v>35</v>
      </c>
      <c r="B30" s="55" t="s">
        <v>36</v>
      </c>
      <c r="C30" s="55">
        <v>4700</v>
      </c>
      <c r="D30" s="54">
        <f>C30/C7</f>
        <v>0.30766290096003918</v>
      </c>
      <c r="E30" s="2">
        <f>C30*12</f>
        <v>56400</v>
      </c>
    </row>
    <row r="31" spans="1:5" ht="15.6" x14ac:dyDescent="0.3">
      <c r="A31" s="57" t="s">
        <v>37</v>
      </c>
      <c r="B31" s="2" t="s">
        <v>30</v>
      </c>
      <c r="C31" s="7">
        <f>D31*C7</f>
        <v>1374.8813999999998</v>
      </c>
      <c r="D31" s="2">
        <v>0.09</v>
      </c>
      <c r="E31" s="7">
        <f>C31*12</f>
        <v>16498.576799999995</v>
      </c>
    </row>
    <row r="32" spans="1:5" ht="15.6" x14ac:dyDescent="0.3">
      <c r="A32" s="57" t="s">
        <v>38</v>
      </c>
      <c r="B32" s="2" t="s">
        <v>40</v>
      </c>
      <c r="C32" s="7">
        <f>D32*C7</f>
        <v>458.29379999999998</v>
      </c>
      <c r="D32" s="2">
        <v>0.03</v>
      </c>
      <c r="E32" s="7">
        <f>C32*12</f>
        <v>5499.5255999999999</v>
      </c>
    </row>
    <row r="33" spans="1:5" ht="15.6" x14ac:dyDescent="0.3">
      <c r="A33" s="57" t="s">
        <v>39</v>
      </c>
      <c r="B33" s="2" t="s">
        <v>41</v>
      </c>
      <c r="C33" s="7">
        <f>D33*C7</f>
        <v>10235.2282</v>
      </c>
      <c r="D33" s="2">
        <v>0.67</v>
      </c>
      <c r="E33" s="7">
        <f>C33*12</f>
        <v>122822.7384</v>
      </c>
    </row>
    <row r="34" spans="1:5" ht="31.2" x14ac:dyDescent="0.3">
      <c r="A34" s="65" t="s">
        <v>42</v>
      </c>
      <c r="B34" s="18" t="s">
        <v>43</v>
      </c>
      <c r="C34" s="22">
        <f>SUM(C35:C40)</f>
        <v>43427.794199999989</v>
      </c>
      <c r="D34" s="16">
        <f>SUM(D35:D40)</f>
        <v>2.842791733163311</v>
      </c>
      <c r="E34" s="22">
        <f>SUM(E35:E40)</f>
        <v>521133.53039999987</v>
      </c>
    </row>
    <row r="35" spans="1:5" ht="15.6" x14ac:dyDescent="0.3">
      <c r="A35" s="57" t="s">
        <v>44</v>
      </c>
      <c r="B35" s="12" t="s">
        <v>73</v>
      </c>
      <c r="C35" s="7">
        <f>D35*C7</f>
        <v>38649.443799999994</v>
      </c>
      <c r="D35" s="2">
        <v>2.5299999999999998</v>
      </c>
      <c r="E35" s="7">
        <f>C35*12</f>
        <v>463793.32559999992</v>
      </c>
    </row>
    <row r="36" spans="1:5" ht="15.6" x14ac:dyDescent="0.3">
      <c r="A36" s="57" t="s">
        <v>46</v>
      </c>
      <c r="B36" s="58" t="s">
        <v>45</v>
      </c>
      <c r="C36" s="54">
        <f>D36*C7</f>
        <v>1374.8813999999998</v>
      </c>
      <c r="D36" s="55">
        <v>0.09</v>
      </c>
      <c r="E36" s="54">
        <f t="shared" ref="E36:E40" si="1">C36*12</f>
        <v>16498.576799999995</v>
      </c>
    </row>
    <row r="37" spans="1:5" ht="15.6" x14ac:dyDescent="0.3">
      <c r="A37" s="57" t="s">
        <v>47</v>
      </c>
      <c r="B37" s="55" t="s">
        <v>48</v>
      </c>
      <c r="C37" s="54">
        <f>D37*C7</f>
        <v>305.5292</v>
      </c>
      <c r="D37" s="55">
        <v>0.02</v>
      </c>
      <c r="E37" s="54">
        <f t="shared" si="1"/>
        <v>3666.3504000000003</v>
      </c>
    </row>
    <row r="38" spans="1:5" ht="15.6" x14ac:dyDescent="0.3">
      <c r="A38" s="57" t="s">
        <v>49</v>
      </c>
      <c r="B38" s="55" t="s">
        <v>50</v>
      </c>
      <c r="C38" s="54">
        <f>D38*C7</f>
        <v>458.29379999999998</v>
      </c>
      <c r="D38" s="55">
        <v>0.03</v>
      </c>
      <c r="E38" s="54">
        <f t="shared" si="1"/>
        <v>5499.5255999999999</v>
      </c>
    </row>
    <row r="39" spans="1:5" ht="15.6" x14ac:dyDescent="0.3">
      <c r="A39" s="57" t="s">
        <v>51</v>
      </c>
      <c r="B39" s="55" t="s">
        <v>124</v>
      </c>
      <c r="C39" s="59">
        <f>E39/12</f>
        <v>1112</v>
      </c>
      <c r="D39" s="59">
        <f>C39/C7</f>
        <v>7.2791733163311403E-2</v>
      </c>
      <c r="E39" s="59">
        <f>C8*4*2</f>
        <v>13344</v>
      </c>
    </row>
    <row r="40" spans="1:5" ht="15.6" x14ac:dyDescent="0.3">
      <c r="A40" s="57" t="s">
        <v>53</v>
      </c>
      <c r="B40" s="2" t="s">
        <v>30</v>
      </c>
      <c r="C40" s="7">
        <f>D40*C7</f>
        <v>1527.646</v>
      </c>
      <c r="D40" s="2">
        <v>0.1</v>
      </c>
      <c r="E40" s="7">
        <f t="shared" si="1"/>
        <v>18331.752</v>
      </c>
    </row>
    <row r="41" spans="1:5" ht="17.399999999999999" x14ac:dyDescent="0.3">
      <c r="A41" s="26" t="s">
        <v>68</v>
      </c>
      <c r="B41" s="16" t="s">
        <v>59</v>
      </c>
      <c r="C41" s="16">
        <f>D41*C7</f>
        <v>24684.983235466672</v>
      </c>
      <c r="D41" s="22">
        <f>C9-D16-D23</f>
        <v>1.6158837345475767</v>
      </c>
      <c r="E41" s="22">
        <f>C41*12</f>
        <v>296219.79882560007</v>
      </c>
    </row>
    <row r="42" spans="1:5" ht="15.6" x14ac:dyDescent="0.3">
      <c r="A42" s="24" t="s">
        <v>77</v>
      </c>
      <c r="B42" s="2" t="s">
        <v>173</v>
      </c>
      <c r="C42" s="7">
        <f>E42/12</f>
        <v>4373.4000000000005</v>
      </c>
      <c r="D42" s="7">
        <f>C42/C7</f>
        <v>0.28628360235290118</v>
      </c>
      <c r="E42" s="54">
        <v>52480.800000000003</v>
      </c>
    </row>
    <row r="43" spans="1:5" ht="15.6" x14ac:dyDescent="0.3">
      <c r="A43" s="24" t="s">
        <v>79</v>
      </c>
      <c r="B43" s="2" t="s">
        <v>145</v>
      </c>
      <c r="C43" s="7">
        <f>E43/12</f>
        <v>10102.513333333334</v>
      </c>
      <c r="D43" s="7">
        <f>C43/C7</f>
        <v>0.66131245938740613</v>
      </c>
      <c r="E43" s="55">
        <v>121230.16</v>
      </c>
    </row>
    <row r="44" spans="1:5" ht="15.6" x14ac:dyDescent="0.3">
      <c r="A44" s="38" t="s">
        <v>80</v>
      </c>
      <c r="B44" s="80" t="s">
        <v>97</v>
      </c>
      <c r="C44" s="54">
        <f>E44/12</f>
        <v>5416.666666666667</v>
      </c>
      <c r="D44" s="54">
        <f>C44/C7</f>
        <v>0.35457603834047069</v>
      </c>
      <c r="E44" s="55">
        <v>65000</v>
      </c>
    </row>
    <row r="45" spans="1:5" s="95" customFormat="1" ht="15.6" x14ac:dyDescent="0.3">
      <c r="A45" s="38" t="s">
        <v>81</v>
      </c>
      <c r="B45" s="80" t="s">
        <v>176</v>
      </c>
      <c r="C45" s="54">
        <f>E45/12</f>
        <v>500</v>
      </c>
      <c r="D45" s="54">
        <f>C45/C7</f>
        <v>3.2730095846812676E-2</v>
      </c>
      <c r="E45" s="55">
        <v>6000</v>
      </c>
    </row>
    <row r="46" spans="1:5" ht="15.6" x14ac:dyDescent="0.3">
      <c r="A46" s="24" t="s">
        <v>81</v>
      </c>
      <c r="B46" s="2" t="s">
        <v>165</v>
      </c>
      <c r="C46" s="7">
        <f t="shared" ref="C46" si="2">E46/12</f>
        <v>4292.4033333333327</v>
      </c>
      <c r="D46" s="7">
        <f>C46/C7</f>
        <v>0.28098154502635642</v>
      </c>
      <c r="E46" s="55">
        <v>51508.84</v>
      </c>
    </row>
    <row r="47" spans="1:5" ht="15.6" x14ac:dyDescent="0.3">
      <c r="A47" s="24"/>
      <c r="B47" s="40" t="s">
        <v>70</v>
      </c>
      <c r="C47" s="41">
        <f>SUM(C42:C46)</f>
        <v>24684.983333333334</v>
      </c>
      <c r="D47" s="41">
        <f>SUM(D42:D46)</f>
        <v>1.615883740953947</v>
      </c>
      <c r="E47" s="41">
        <f>SUM(E42:E46)</f>
        <v>296219.80000000005</v>
      </c>
    </row>
    <row r="48" spans="1:5" ht="15.6" x14ac:dyDescent="0.3">
      <c r="A48" s="31"/>
      <c r="B48" s="32" t="s">
        <v>60</v>
      </c>
      <c r="C48" s="30">
        <f>D48*C7</f>
        <v>159791.77160000001</v>
      </c>
      <c r="D48" s="30">
        <f>D41+D23+D16</f>
        <v>10.46</v>
      </c>
      <c r="E48" s="30">
        <f>C48*12</f>
        <v>1917501.2592000002</v>
      </c>
    </row>
    <row r="49" spans="1:5" ht="15.6" x14ac:dyDescent="0.3">
      <c r="A49" s="31" t="s">
        <v>69</v>
      </c>
      <c r="B49" s="16" t="s">
        <v>65</v>
      </c>
      <c r="C49" s="16">
        <f>D49*C7</f>
        <v>26700</v>
      </c>
      <c r="D49" s="22">
        <f>C10/C7/12</f>
        <v>1.747787118219797</v>
      </c>
      <c r="E49" s="16">
        <f>C49*12</f>
        <v>320400</v>
      </c>
    </row>
    <row r="50" spans="1:5" ht="15.6" x14ac:dyDescent="0.3">
      <c r="A50" s="38" t="s">
        <v>74</v>
      </c>
      <c r="B50" s="55" t="s">
        <v>172</v>
      </c>
      <c r="C50" s="76">
        <f>E50/12</f>
        <v>20000</v>
      </c>
      <c r="D50" s="54">
        <f>C50/C7</f>
        <v>1.3092038338725072</v>
      </c>
      <c r="E50" s="55">
        <v>240000</v>
      </c>
    </row>
    <row r="51" spans="1:5" ht="15.6" x14ac:dyDescent="0.3">
      <c r="A51" s="24" t="s">
        <v>75</v>
      </c>
      <c r="B51" s="55" t="s">
        <v>177</v>
      </c>
      <c r="C51" s="76">
        <f>E51/12</f>
        <v>6666.666666666667</v>
      </c>
      <c r="D51" s="54">
        <f>C51/C7</f>
        <v>0.43640127795750244</v>
      </c>
      <c r="E51" s="55">
        <v>80000</v>
      </c>
    </row>
    <row r="52" spans="1:5" ht="15.6" x14ac:dyDescent="0.3">
      <c r="A52" s="4"/>
      <c r="B52" s="42" t="s">
        <v>70</v>
      </c>
      <c r="C52" s="42"/>
      <c r="D52" s="43">
        <f>SUM(D50:D51)</f>
        <v>1.7456051118300095</v>
      </c>
      <c r="E52" s="42"/>
    </row>
    <row r="53" spans="1:5" x14ac:dyDescent="0.3">
      <c r="A53" s="119" t="s">
        <v>166</v>
      </c>
      <c r="B53" s="120"/>
      <c r="C53" s="120"/>
      <c r="D53" s="120"/>
      <c r="E53" s="121"/>
    </row>
    <row r="54" spans="1:5" x14ac:dyDescent="0.3">
      <c r="A54" s="122"/>
      <c r="B54" s="123"/>
      <c r="C54" s="123"/>
      <c r="D54" s="123"/>
      <c r="E54" s="124"/>
    </row>
    <row r="55" spans="1:5" x14ac:dyDescent="0.3">
      <c r="A55" s="122"/>
      <c r="B55" s="123"/>
      <c r="C55" s="123"/>
      <c r="D55" s="123"/>
      <c r="E55" s="124"/>
    </row>
    <row r="56" spans="1:5" x14ac:dyDescent="0.3">
      <c r="A56" s="125"/>
      <c r="B56" s="126"/>
      <c r="C56" s="126"/>
      <c r="D56" s="126"/>
      <c r="E56" s="127"/>
    </row>
    <row r="57" spans="1:5" ht="39.75" customHeight="1" x14ac:dyDescent="0.3">
      <c r="A57" s="114" t="s">
        <v>167</v>
      </c>
      <c r="B57" s="115"/>
      <c r="C57" s="3"/>
      <c r="D57" s="3"/>
      <c r="E57" s="3"/>
    </row>
  </sheetData>
  <mergeCells count="19">
    <mergeCell ref="F10:J10"/>
    <mergeCell ref="A13:B13"/>
    <mergeCell ref="C13:E13"/>
    <mergeCell ref="A14:E14"/>
    <mergeCell ref="A8:B8"/>
    <mergeCell ref="C8:E8"/>
    <mergeCell ref="A9:B9"/>
    <mergeCell ref="C9:E9"/>
    <mergeCell ref="A10:B10"/>
    <mergeCell ref="C10:E10"/>
    <mergeCell ref="A53:E56"/>
    <mergeCell ref="A57:B57"/>
    <mergeCell ref="A7:B7"/>
    <mergeCell ref="C7:E7"/>
    <mergeCell ref="A2:E4"/>
    <mergeCell ref="A5:B5"/>
    <mergeCell ref="C5:E5"/>
    <mergeCell ref="A6:B6"/>
    <mergeCell ref="C6:E6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2"/>
  <sheetViews>
    <sheetView zoomScaleNormal="100" workbookViewId="0">
      <selection activeCell="H29" sqref="H29"/>
    </sheetView>
  </sheetViews>
  <sheetFormatPr defaultRowHeight="13.8" x14ac:dyDescent="0.3"/>
  <cols>
    <col min="1" max="1" width="8.5546875" style="29" customWidth="1"/>
    <col min="2" max="2" width="84.44140625" customWidth="1"/>
    <col min="3" max="3" width="11.6640625" customWidth="1"/>
    <col min="4" max="4" width="11.88671875" customWidth="1"/>
    <col min="5" max="5" width="12.33203125" customWidth="1"/>
  </cols>
  <sheetData>
    <row r="2" spans="1:5" x14ac:dyDescent="0.3">
      <c r="A2" s="102" t="s">
        <v>86</v>
      </c>
      <c r="B2" s="102"/>
      <c r="C2" s="102"/>
      <c r="D2" s="102"/>
      <c r="E2" s="102"/>
    </row>
    <row r="3" spans="1:5" x14ac:dyDescent="0.3">
      <c r="A3" s="102"/>
      <c r="B3" s="102"/>
      <c r="C3" s="102"/>
      <c r="D3" s="102"/>
      <c r="E3" s="102"/>
    </row>
    <row r="4" spans="1:5" ht="15" customHeight="1" x14ac:dyDescent="0.3">
      <c r="A4" s="103"/>
      <c r="B4" s="103"/>
      <c r="C4" s="103"/>
      <c r="D4" s="103"/>
      <c r="E4" s="103"/>
    </row>
    <row r="5" spans="1:5" ht="15.75" customHeight="1" x14ac:dyDescent="0.3">
      <c r="A5" s="97" t="s">
        <v>0</v>
      </c>
      <c r="B5" s="98"/>
      <c r="C5" s="97" t="s">
        <v>1</v>
      </c>
      <c r="D5" s="104"/>
      <c r="E5" s="98"/>
    </row>
    <row r="6" spans="1:5" ht="15" customHeight="1" x14ac:dyDescent="0.3">
      <c r="A6" s="97" t="s">
        <v>2</v>
      </c>
      <c r="B6" s="98"/>
      <c r="C6" s="97">
        <v>9</v>
      </c>
      <c r="D6" s="104"/>
      <c r="E6" s="98"/>
    </row>
    <row r="7" spans="1:5" ht="14.25" customHeight="1" x14ac:dyDescent="0.3">
      <c r="A7" s="97" t="s">
        <v>3</v>
      </c>
      <c r="B7" s="98"/>
      <c r="C7" s="97">
        <v>17782.740000000002</v>
      </c>
      <c r="D7" s="104"/>
      <c r="E7" s="98"/>
    </row>
    <row r="8" spans="1:5" ht="15.75" customHeight="1" x14ac:dyDescent="0.3">
      <c r="A8" s="97" t="s">
        <v>4</v>
      </c>
      <c r="B8" s="98"/>
      <c r="C8" s="97">
        <v>1967</v>
      </c>
      <c r="D8" s="104"/>
      <c r="E8" s="98"/>
    </row>
    <row r="9" spans="1:5" ht="16.5" customHeight="1" x14ac:dyDescent="0.3">
      <c r="A9" s="97" t="s">
        <v>5</v>
      </c>
      <c r="B9" s="98"/>
      <c r="C9" s="97">
        <v>8.5</v>
      </c>
      <c r="D9" s="104"/>
      <c r="E9" s="98"/>
    </row>
    <row r="10" spans="1:5" ht="15.75" customHeight="1" x14ac:dyDescent="0.3">
      <c r="A10" s="97" t="s">
        <v>6</v>
      </c>
      <c r="B10" s="98"/>
      <c r="C10" s="97">
        <v>38000</v>
      </c>
      <c r="D10" s="104"/>
      <c r="E10" s="98"/>
    </row>
    <row r="11" spans="1:5" ht="15" customHeight="1" x14ac:dyDescent="0.3">
      <c r="A11" s="5"/>
      <c r="B11" s="6" t="s">
        <v>56</v>
      </c>
      <c r="C11" s="5"/>
      <c r="D11" s="9">
        <f>C7*C9</f>
        <v>151153.29</v>
      </c>
      <c r="E11" s="6"/>
    </row>
    <row r="12" spans="1:5" ht="15" customHeight="1" x14ac:dyDescent="0.3">
      <c r="A12" s="5"/>
      <c r="B12" s="6" t="s">
        <v>64</v>
      </c>
      <c r="C12" s="5"/>
      <c r="D12" s="9">
        <f>D11+(C10/12)</f>
        <v>154319.95666666667</v>
      </c>
      <c r="E12" s="6"/>
    </row>
    <row r="13" spans="1:5" ht="14.25" customHeight="1" x14ac:dyDescent="0.3">
      <c r="A13" s="97" t="s">
        <v>7</v>
      </c>
      <c r="B13" s="98"/>
      <c r="C13" s="97">
        <f>(C7*C9*12)+C10</f>
        <v>1851839.48</v>
      </c>
      <c r="D13" s="104"/>
      <c r="E13" s="98"/>
    </row>
    <row r="14" spans="1:5" ht="14.25" customHeight="1" x14ac:dyDescent="0.3">
      <c r="A14" s="97" t="s">
        <v>8</v>
      </c>
      <c r="B14" s="104"/>
      <c r="C14" s="104"/>
      <c r="D14" s="104"/>
      <c r="E14" s="98"/>
    </row>
    <row r="15" spans="1:5" ht="30.75" customHeight="1" x14ac:dyDescent="0.3">
      <c r="A15" s="4"/>
      <c r="B15" s="10" t="s">
        <v>12</v>
      </c>
      <c r="C15" s="10" t="s">
        <v>13</v>
      </c>
      <c r="D15" s="11" t="s">
        <v>14</v>
      </c>
      <c r="E15" s="10" t="s">
        <v>15</v>
      </c>
    </row>
    <row r="16" spans="1:5" ht="20.100000000000001" customHeight="1" x14ac:dyDescent="0.35">
      <c r="A16" s="23">
        <v>1</v>
      </c>
      <c r="B16" s="14" t="s">
        <v>9</v>
      </c>
      <c r="C16" s="21">
        <f>C17+C18</f>
        <v>36318.705679999999</v>
      </c>
      <c r="D16" s="21">
        <f>D17+D18</f>
        <v>2.1291378745157759</v>
      </c>
      <c r="E16" s="21">
        <f>E17+E18</f>
        <v>435824.46816000005</v>
      </c>
    </row>
    <row r="17" spans="1:6" ht="16.5" customHeight="1" x14ac:dyDescent="0.3">
      <c r="A17" s="24" t="s">
        <v>10</v>
      </c>
      <c r="B17" s="8" t="s">
        <v>11</v>
      </c>
      <c r="C17" s="7">
        <f>(D11*13.8%)+(C10*13.8%/12)</f>
        <v>21296.154020000002</v>
      </c>
      <c r="D17" s="7">
        <f>C17/C7</f>
        <v>1.1975743906732033</v>
      </c>
      <c r="E17" s="7">
        <f>C17*12</f>
        <v>255553.84824000002</v>
      </c>
    </row>
    <row r="18" spans="1:6" ht="14.25" customHeight="1" x14ac:dyDescent="0.3">
      <c r="A18" s="4" t="s">
        <v>16</v>
      </c>
      <c r="B18" s="8" t="s">
        <v>17</v>
      </c>
      <c r="C18" s="20">
        <f>SUM(C19:C21)</f>
        <v>15022.551660000001</v>
      </c>
      <c r="D18" s="20">
        <f>SUM(D19:D22)</f>
        <v>0.93156348384257248</v>
      </c>
      <c r="E18" s="20">
        <f t="shared" ref="E18" si="0">SUM(E19:E21)</f>
        <v>180270.61992000003</v>
      </c>
    </row>
    <row r="19" spans="1:6" ht="13.5" customHeight="1" x14ac:dyDescent="0.3">
      <c r="A19" s="24" t="s">
        <v>18</v>
      </c>
      <c r="B19" s="8" t="s">
        <v>19</v>
      </c>
      <c r="C19" s="37">
        <f>E19/12</f>
        <v>5082</v>
      </c>
      <c r="D19" s="37">
        <f>C19/C7</f>
        <v>0.28578273089523887</v>
      </c>
      <c r="E19" s="37">
        <v>60984</v>
      </c>
    </row>
    <row r="20" spans="1:6" ht="43.5" customHeight="1" x14ac:dyDescent="0.3">
      <c r="A20" s="24" t="s">
        <v>20</v>
      </c>
      <c r="B20" s="13" t="s">
        <v>21</v>
      </c>
      <c r="C20" s="7">
        <f>D20*C7</f>
        <v>4801.3398000000007</v>
      </c>
      <c r="D20" s="2">
        <v>0.27</v>
      </c>
      <c r="E20" s="7">
        <f>C20*12</f>
        <v>57616.077600000004</v>
      </c>
    </row>
    <row r="21" spans="1:6" ht="14.25" customHeight="1" x14ac:dyDescent="0.3">
      <c r="A21" s="24" t="s">
        <v>22</v>
      </c>
      <c r="B21" s="8" t="s">
        <v>23</v>
      </c>
      <c r="C21" s="7">
        <f>D11*3.4%</f>
        <v>5139.2118600000003</v>
      </c>
      <c r="D21" s="7">
        <f>C21/C7</f>
        <v>0.28899999999999998</v>
      </c>
      <c r="E21" s="7">
        <f>C21*12</f>
        <v>61670.542320000008</v>
      </c>
    </row>
    <row r="22" spans="1:6" ht="16.5" customHeight="1" x14ac:dyDescent="0.3">
      <c r="A22" s="24" t="s">
        <v>66</v>
      </c>
      <c r="B22" s="8" t="s">
        <v>67</v>
      </c>
      <c r="C22" s="7">
        <f>E22/12</f>
        <v>1543.1995666666669</v>
      </c>
      <c r="D22" s="7">
        <f>C22/C7</f>
        <v>8.6780752947333575E-2</v>
      </c>
      <c r="E22" s="7">
        <f>C13*1%</f>
        <v>18518.394800000002</v>
      </c>
    </row>
    <row r="23" spans="1:6" ht="20.100000000000001" customHeight="1" x14ac:dyDescent="0.35">
      <c r="A23" s="25" t="s">
        <v>24</v>
      </c>
      <c r="B23" s="14" t="s">
        <v>25</v>
      </c>
      <c r="C23" s="21">
        <f>C24+C28+C34</f>
        <v>102243.38293333333</v>
      </c>
      <c r="D23" s="21">
        <f>D24+D28+D34</f>
        <v>5.7495854369649066</v>
      </c>
      <c r="E23" s="21">
        <f>E24+E28+E34</f>
        <v>1226920.5951999999</v>
      </c>
    </row>
    <row r="24" spans="1:6" ht="17.25" customHeight="1" x14ac:dyDescent="0.3">
      <c r="A24" s="26" t="s">
        <v>26</v>
      </c>
      <c r="B24" s="15" t="s">
        <v>27</v>
      </c>
      <c r="C24" s="22">
        <f>SUM(C25:C27)</f>
        <v>4155.7002000000002</v>
      </c>
      <c r="D24" s="22">
        <f>SUM(D25:D27)</f>
        <v>0.2336929067174125</v>
      </c>
      <c r="E24" s="22">
        <f>SUM(E25:E27)</f>
        <v>49868.402399999999</v>
      </c>
    </row>
    <row r="25" spans="1:6" ht="18" customHeight="1" x14ac:dyDescent="0.3">
      <c r="A25" s="24" t="s">
        <v>28</v>
      </c>
      <c r="B25" s="13" t="s">
        <v>61</v>
      </c>
      <c r="C25" s="7">
        <f>D25*C7</f>
        <v>3200.8932</v>
      </c>
      <c r="D25" s="2">
        <v>0.18</v>
      </c>
      <c r="E25" s="7">
        <f>C25*12</f>
        <v>38410.718399999998</v>
      </c>
    </row>
    <row r="26" spans="1:6" ht="13.5" customHeight="1" x14ac:dyDescent="0.3">
      <c r="A26" s="24" t="s">
        <v>29</v>
      </c>
      <c r="B26" s="2" t="s">
        <v>30</v>
      </c>
      <c r="C26" s="7">
        <f>D26*C7</f>
        <v>889.13700000000017</v>
      </c>
      <c r="D26" s="2">
        <v>0.05</v>
      </c>
      <c r="E26" s="7">
        <f>C26*12</f>
        <v>10669.644000000002</v>
      </c>
    </row>
    <row r="27" spans="1:6" ht="16.5" customHeight="1" x14ac:dyDescent="0.3">
      <c r="A27" s="57" t="s">
        <v>31</v>
      </c>
      <c r="B27" s="73" t="s">
        <v>57</v>
      </c>
      <c r="C27" s="73">
        <f>E27/12</f>
        <v>65.67</v>
      </c>
      <c r="D27" s="78">
        <f>C27/C7</f>
        <v>3.6929067174125019E-3</v>
      </c>
      <c r="E27" s="73">
        <f>87.56*9</f>
        <v>788.04</v>
      </c>
    </row>
    <row r="28" spans="1:6" ht="20.100000000000001" customHeight="1" x14ac:dyDescent="0.3">
      <c r="A28" s="65" t="s">
        <v>32</v>
      </c>
      <c r="B28" s="17" t="s">
        <v>33</v>
      </c>
      <c r="C28" s="22">
        <f>SUM(C29:C33)</f>
        <v>47518.159599999999</v>
      </c>
      <c r="D28" s="22">
        <f>SUM(D29:D33)</f>
        <v>2.6721506134600177</v>
      </c>
      <c r="E28" s="22">
        <f>SUM(E29:E33)</f>
        <v>570217.91520000005</v>
      </c>
    </row>
    <row r="29" spans="1:6" ht="15" customHeight="1" x14ac:dyDescent="0.3">
      <c r="A29" s="57" t="s">
        <v>34</v>
      </c>
      <c r="B29" s="13" t="s">
        <v>62</v>
      </c>
      <c r="C29" s="7">
        <f>D29*C7</f>
        <v>31119.795000000002</v>
      </c>
      <c r="D29" s="2">
        <v>1.75</v>
      </c>
      <c r="E29" s="7">
        <f>C29*12</f>
        <v>373437.54000000004</v>
      </c>
    </row>
    <row r="30" spans="1:6" ht="15" customHeight="1" x14ac:dyDescent="0.3">
      <c r="A30" s="57" t="s">
        <v>35</v>
      </c>
      <c r="B30" s="2" t="s">
        <v>36</v>
      </c>
      <c r="C30" s="73">
        <v>2350</v>
      </c>
      <c r="D30" s="37">
        <f>C30/C7</f>
        <v>0.13215061346001797</v>
      </c>
      <c r="E30" s="73">
        <f>C30*12</f>
        <v>28200</v>
      </c>
      <c r="F30" s="79"/>
    </row>
    <row r="31" spans="1:6" ht="15.75" customHeight="1" x14ac:dyDescent="0.3">
      <c r="A31" s="57" t="s">
        <v>37</v>
      </c>
      <c r="B31" s="2" t="s">
        <v>30</v>
      </c>
      <c r="C31" s="7">
        <f>D31*C7</f>
        <v>1600.4466</v>
      </c>
      <c r="D31" s="2">
        <v>0.09</v>
      </c>
      <c r="E31" s="7">
        <f>C31*12</f>
        <v>19205.359199999999</v>
      </c>
    </row>
    <row r="32" spans="1:6" ht="18" customHeight="1" x14ac:dyDescent="0.3">
      <c r="A32" s="57" t="s">
        <v>38</v>
      </c>
      <c r="B32" s="2" t="s">
        <v>40</v>
      </c>
      <c r="C32" s="7">
        <f>D32*C7</f>
        <v>533.48220000000003</v>
      </c>
      <c r="D32" s="2">
        <v>0.03</v>
      </c>
      <c r="E32" s="7">
        <f>C32*12</f>
        <v>6401.7864000000009</v>
      </c>
    </row>
    <row r="33" spans="1:5" ht="15" customHeight="1" x14ac:dyDescent="0.3">
      <c r="A33" s="57" t="s">
        <v>39</v>
      </c>
      <c r="B33" s="2" t="s">
        <v>41</v>
      </c>
      <c r="C33" s="7">
        <f>D33*C7</f>
        <v>11914.435800000001</v>
      </c>
      <c r="D33" s="2">
        <v>0.67</v>
      </c>
      <c r="E33" s="7">
        <f>C33*12</f>
        <v>142973.22960000002</v>
      </c>
    </row>
    <row r="34" spans="1:5" ht="31.5" customHeight="1" x14ac:dyDescent="0.3">
      <c r="A34" s="65" t="s">
        <v>42</v>
      </c>
      <c r="B34" s="18" t="s">
        <v>43</v>
      </c>
      <c r="C34" s="22">
        <f>SUM(C35:C40)</f>
        <v>50569.523133333329</v>
      </c>
      <c r="D34" s="22">
        <f>SUM(D35:D40)</f>
        <v>2.8437419167874762</v>
      </c>
      <c r="E34" s="22">
        <f>SUM(E35:E40)</f>
        <v>606834.27759999991</v>
      </c>
    </row>
    <row r="35" spans="1:5" ht="30.75" customHeight="1" x14ac:dyDescent="0.3">
      <c r="A35" s="57" t="s">
        <v>44</v>
      </c>
      <c r="B35" s="12" t="s">
        <v>63</v>
      </c>
      <c r="C35" s="7">
        <f>D35*C7</f>
        <v>44990.332199999997</v>
      </c>
      <c r="D35" s="2">
        <v>2.5299999999999998</v>
      </c>
      <c r="E35" s="7">
        <f>C35*12</f>
        <v>539883.98639999994</v>
      </c>
    </row>
    <row r="36" spans="1:5" ht="15.75" customHeight="1" x14ac:dyDescent="0.3">
      <c r="A36" s="57" t="s">
        <v>46</v>
      </c>
      <c r="B36" s="1" t="s">
        <v>45</v>
      </c>
      <c r="C36" s="7">
        <f>D36*C7</f>
        <v>1600.4466</v>
      </c>
      <c r="D36" s="2">
        <v>0.09</v>
      </c>
      <c r="E36" s="7">
        <f t="shared" ref="E36:E40" si="1">C36*12</f>
        <v>19205.359199999999</v>
      </c>
    </row>
    <row r="37" spans="1:5" ht="14.25" customHeight="1" x14ac:dyDescent="0.3">
      <c r="A37" s="57" t="s">
        <v>47</v>
      </c>
      <c r="B37" s="2" t="s">
        <v>48</v>
      </c>
      <c r="C37" s="7">
        <f>D37*C7</f>
        <v>355.65480000000002</v>
      </c>
      <c r="D37" s="2">
        <v>0.02</v>
      </c>
      <c r="E37" s="7">
        <f t="shared" si="1"/>
        <v>4267.8576000000003</v>
      </c>
    </row>
    <row r="38" spans="1:5" ht="15.75" customHeight="1" x14ac:dyDescent="0.3">
      <c r="A38" s="57" t="s">
        <v>49</v>
      </c>
      <c r="B38" s="2" t="s">
        <v>50</v>
      </c>
      <c r="C38" s="37">
        <f>D38*C7</f>
        <v>533.48220000000003</v>
      </c>
      <c r="D38" s="73">
        <v>0.03</v>
      </c>
      <c r="E38" s="37">
        <f t="shared" si="1"/>
        <v>6401.7864000000009</v>
      </c>
    </row>
    <row r="39" spans="1:5" ht="15" customHeight="1" x14ac:dyDescent="0.3">
      <c r="A39" s="57" t="s">
        <v>51</v>
      </c>
      <c r="B39" s="2" t="s">
        <v>52</v>
      </c>
      <c r="C39" s="37">
        <f>E39/12</f>
        <v>1311.3333333333333</v>
      </c>
      <c r="D39" s="37">
        <f>C39/C7</f>
        <v>7.3741916787476686E-2</v>
      </c>
      <c r="E39" s="37">
        <f>C8*4*2</f>
        <v>15736</v>
      </c>
    </row>
    <row r="40" spans="1:5" ht="15" customHeight="1" x14ac:dyDescent="0.3">
      <c r="A40" s="24" t="s">
        <v>53</v>
      </c>
      <c r="B40" s="2" t="s">
        <v>30</v>
      </c>
      <c r="C40" s="7">
        <f>D40*C7</f>
        <v>1778.2740000000003</v>
      </c>
      <c r="D40" s="2">
        <v>0.1</v>
      </c>
      <c r="E40" s="7">
        <f t="shared" si="1"/>
        <v>21339.288000000004</v>
      </c>
    </row>
    <row r="41" spans="1:5" ht="20.100000000000001" customHeight="1" x14ac:dyDescent="0.3">
      <c r="A41" s="26" t="s">
        <v>58</v>
      </c>
      <c r="B41" s="16" t="s">
        <v>59</v>
      </c>
      <c r="C41" s="22">
        <f>D41*C7</f>
        <v>11048.001820000018</v>
      </c>
      <c r="D41" s="22">
        <f>C9-D16-D23</f>
        <v>0.62127668851931794</v>
      </c>
      <c r="E41" s="22">
        <f>C41*12</f>
        <v>132576.0218400002</v>
      </c>
    </row>
    <row r="42" spans="1:5" ht="14.25" customHeight="1" x14ac:dyDescent="0.3">
      <c r="A42" s="24" t="s">
        <v>77</v>
      </c>
      <c r="B42" s="2" t="s">
        <v>78</v>
      </c>
      <c r="C42" s="7">
        <f t="shared" ref="C42:C44" si="2">E42/12</f>
        <v>214.66833333333332</v>
      </c>
      <c r="D42" s="7">
        <f>C42/C7</f>
        <v>1.2071724229974306E-2</v>
      </c>
      <c r="E42" s="55">
        <v>2576.02</v>
      </c>
    </row>
    <row r="43" spans="1:5" s="96" customFormat="1" ht="14.25" customHeight="1" x14ac:dyDescent="0.3">
      <c r="A43" s="24" t="s">
        <v>79</v>
      </c>
      <c r="B43" s="2" t="s">
        <v>179</v>
      </c>
      <c r="C43" s="7">
        <f t="shared" si="2"/>
        <v>7500</v>
      </c>
      <c r="D43" s="7">
        <f>C43/C7</f>
        <v>0.42175727700005733</v>
      </c>
      <c r="E43" s="55">
        <v>90000</v>
      </c>
    </row>
    <row r="44" spans="1:5" ht="15.75" customHeight="1" x14ac:dyDescent="0.3">
      <c r="A44" s="24" t="s">
        <v>80</v>
      </c>
      <c r="B44" s="2" t="s">
        <v>180</v>
      </c>
      <c r="C44" s="7">
        <f t="shared" si="2"/>
        <v>3333.3333333333335</v>
      </c>
      <c r="D44" s="7">
        <f>C44/C7</f>
        <v>0.18744767866669215</v>
      </c>
      <c r="E44" s="55">
        <v>40000</v>
      </c>
    </row>
    <row r="45" spans="1:5" ht="16.5" customHeight="1" x14ac:dyDescent="0.3">
      <c r="A45" s="31"/>
      <c r="B45" s="32" t="s">
        <v>60</v>
      </c>
      <c r="C45" s="30">
        <f>C41+C23+C16</f>
        <v>149610.09043333336</v>
      </c>
      <c r="D45" s="30">
        <f>D41+D23+D16</f>
        <v>8.5</v>
      </c>
      <c r="E45" s="30">
        <f>E41+E23+E16</f>
        <v>1795321.0852000001</v>
      </c>
    </row>
    <row r="46" spans="1:5" ht="15.6" x14ac:dyDescent="0.3">
      <c r="A46" s="31" t="s">
        <v>69</v>
      </c>
      <c r="B46" s="16" t="s">
        <v>65</v>
      </c>
      <c r="C46" s="16">
        <f>D46*C7</f>
        <v>3166.6666666666661</v>
      </c>
      <c r="D46" s="22">
        <f>C10/C7/12</f>
        <v>0.17807529473335751</v>
      </c>
      <c r="E46" s="16">
        <f>C46*12</f>
        <v>37999.999999999993</v>
      </c>
    </row>
    <row r="47" spans="1:5" ht="15.6" x14ac:dyDescent="0.3">
      <c r="A47" s="24" t="s">
        <v>74</v>
      </c>
      <c r="B47" s="55" t="s">
        <v>72</v>
      </c>
      <c r="C47" s="76">
        <f>E47/12</f>
        <v>3166.6666666666665</v>
      </c>
      <c r="D47" s="54">
        <f>C47/C7</f>
        <v>0.17807529473335754</v>
      </c>
      <c r="E47" s="55">
        <v>38000</v>
      </c>
    </row>
    <row r="48" spans="1:5" x14ac:dyDescent="0.3">
      <c r="A48" s="119" t="s">
        <v>166</v>
      </c>
      <c r="B48" s="120"/>
      <c r="C48" s="120"/>
      <c r="D48" s="120"/>
      <c r="E48" s="121"/>
    </row>
    <row r="49" spans="1:5" x14ac:dyDescent="0.3">
      <c r="A49" s="122"/>
      <c r="B49" s="123"/>
      <c r="C49" s="123"/>
      <c r="D49" s="123"/>
      <c r="E49" s="124"/>
    </row>
    <row r="50" spans="1:5" x14ac:dyDescent="0.3">
      <c r="A50" s="122"/>
      <c r="B50" s="123"/>
      <c r="C50" s="123"/>
      <c r="D50" s="123"/>
      <c r="E50" s="124"/>
    </row>
    <row r="51" spans="1:5" x14ac:dyDescent="0.3">
      <c r="A51" s="125"/>
      <c r="B51" s="126"/>
      <c r="C51" s="126"/>
      <c r="D51" s="126"/>
      <c r="E51" s="127"/>
    </row>
    <row r="52" spans="1:5" ht="42" customHeight="1" x14ac:dyDescent="0.3">
      <c r="A52" s="114" t="s">
        <v>167</v>
      </c>
      <c r="B52" s="115"/>
      <c r="C52" s="3"/>
      <c r="D52" s="3"/>
      <c r="E52" s="3"/>
    </row>
  </sheetData>
  <mergeCells count="18">
    <mergeCell ref="A10:B10"/>
    <mergeCell ref="C10:E10"/>
    <mergeCell ref="A48:E51"/>
    <mergeCell ref="A52:B52"/>
    <mergeCell ref="A7:B7"/>
    <mergeCell ref="C7:E7"/>
    <mergeCell ref="A13:B13"/>
    <mergeCell ref="C13:E13"/>
    <mergeCell ref="A14:E14"/>
    <mergeCell ref="A8:B8"/>
    <mergeCell ref="C8:E8"/>
    <mergeCell ref="A9:B9"/>
    <mergeCell ref="C9:E9"/>
    <mergeCell ref="A2:E4"/>
    <mergeCell ref="A5:B5"/>
    <mergeCell ref="C5:E5"/>
    <mergeCell ref="A6:B6"/>
    <mergeCell ref="C6:E6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3"/>
  <sheetViews>
    <sheetView topLeftCell="A26" workbookViewId="0">
      <selection activeCell="H42" sqref="H42"/>
    </sheetView>
  </sheetViews>
  <sheetFormatPr defaultRowHeight="13.8" x14ac:dyDescent="0.3"/>
  <cols>
    <col min="1" max="1" width="8.5546875" style="29" customWidth="1"/>
    <col min="2" max="2" width="80" customWidth="1"/>
    <col min="3" max="3" width="11.6640625" customWidth="1"/>
    <col min="4" max="4" width="11.88671875" customWidth="1"/>
    <col min="5" max="5" width="12.33203125" customWidth="1"/>
  </cols>
  <sheetData>
    <row r="2" spans="1:5" x14ac:dyDescent="0.3">
      <c r="A2" s="102" t="s">
        <v>119</v>
      </c>
      <c r="B2" s="102"/>
      <c r="C2" s="102"/>
      <c r="D2" s="102"/>
      <c r="E2" s="102"/>
    </row>
    <row r="3" spans="1:5" x14ac:dyDescent="0.3">
      <c r="A3" s="102"/>
      <c r="B3" s="102"/>
      <c r="C3" s="102"/>
      <c r="D3" s="102"/>
      <c r="E3" s="102"/>
    </row>
    <row r="4" spans="1:5" x14ac:dyDescent="0.3">
      <c r="A4" s="103"/>
      <c r="B4" s="103"/>
      <c r="C4" s="103"/>
      <c r="D4" s="103"/>
      <c r="E4" s="103"/>
    </row>
    <row r="5" spans="1:5" ht="15.6" x14ac:dyDescent="0.3">
      <c r="A5" s="97" t="s">
        <v>0</v>
      </c>
      <c r="B5" s="98"/>
      <c r="C5" s="97" t="s">
        <v>1</v>
      </c>
      <c r="D5" s="104"/>
      <c r="E5" s="98"/>
    </row>
    <row r="6" spans="1:5" ht="15.6" x14ac:dyDescent="0.3">
      <c r="A6" s="97" t="s">
        <v>2</v>
      </c>
      <c r="B6" s="98"/>
      <c r="C6" s="133">
        <v>9</v>
      </c>
      <c r="D6" s="134"/>
      <c r="E6" s="135"/>
    </row>
    <row r="7" spans="1:5" ht="15.6" x14ac:dyDescent="0.3">
      <c r="A7" s="97" t="s">
        <v>3</v>
      </c>
      <c r="B7" s="98"/>
      <c r="C7" s="133">
        <v>17773.099999999999</v>
      </c>
      <c r="D7" s="134"/>
      <c r="E7" s="135"/>
    </row>
    <row r="8" spans="1:5" ht="15.6" x14ac:dyDescent="0.3">
      <c r="A8" s="97" t="s">
        <v>4</v>
      </c>
      <c r="B8" s="98"/>
      <c r="C8" s="133">
        <v>1953</v>
      </c>
      <c r="D8" s="134"/>
      <c r="E8" s="135"/>
    </row>
    <row r="9" spans="1:5" ht="15.6" x14ac:dyDescent="0.3">
      <c r="A9" s="97" t="s">
        <v>5</v>
      </c>
      <c r="B9" s="98"/>
      <c r="C9" s="133">
        <v>8.5</v>
      </c>
      <c r="D9" s="134"/>
      <c r="E9" s="135"/>
    </row>
    <row r="10" spans="1:5" ht="15.6" x14ac:dyDescent="0.3">
      <c r="A10" s="97" t="s">
        <v>6</v>
      </c>
      <c r="B10" s="98"/>
      <c r="C10" s="133">
        <v>292800</v>
      </c>
      <c r="D10" s="134"/>
      <c r="E10" s="135"/>
    </row>
    <row r="11" spans="1:5" ht="15.6" x14ac:dyDescent="0.3">
      <c r="A11" s="50"/>
      <c r="B11" s="51" t="s">
        <v>56</v>
      </c>
      <c r="C11" s="50"/>
      <c r="D11" s="52">
        <f>C7*C9</f>
        <v>151071.34999999998</v>
      </c>
      <c r="E11" s="51"/>
    </row>
    <row r="12" spans="1:5" ht="15.6" x14ac:dyDescent="0.3">
      <c r="A12" s="50"/>
      <c r="B12" s="51" t="s">
        <v>64</v>
      </c>
      <c r="C12" s="50"/>
      <c r="D12" s="52">
        <f>D11+(C10/12)</f>
        <v>175471.34999999998</v>
      </c>
      <c r="E12" s="51"/>
    </row>
    <row r="13" spans="1:5" ht="15.6" x14ac:dyDescent="0.3">
      <c r="A13" s="97" t="s">
        <v>7</v>
      </c>
      <c r="B13" s="98"/>
      <c r="C13" s="128">
        <f>(C7*C9*12)+C10</f>
        <v>2105656.1999999997</v>
      </c>
      <c r="D13" s="129"/>
      <c r="E13" s="130"/>
    </row>
    <row r="14" spans="1:5" ht="15.6" x14ac:dyDescent="0.3">
      <c r="A14" s="97" t="s">
        <v>8</v>
      </c>
      <c r="B14" s="104"/>
      <c r="C14" s="104"/>
      <c r="D14" s="104"/>
      <c r="E14" s="98"/>
    </row>
    <row r="15" spans="1:5" ht="46.8" x14ac:dyDescent="0.3">
      <c r="A15" s="4"/>
      <c r="B15" s="10" t="s">
        <v>12</v>
      </c>
      <c r="C15" s="10" t="s">
        <v>13</v>
      </c>
      <c r="D15" s="11" t="s">
        <v>14</v>
      </c>
      <c r="E15" s="10" t="s">
        <v>15</v>
      </c>
    </row>
    <row r="16" spans="1:5" ht="18" x14ac:dyDescent="0.35">
      <c r="A16" s="23">
        <v>1</v>
      </c>
      <c r="B16" s="14" t="s">
        <v>9</v>
      </c>
      <c r="C16" s="21">
        <f>C17+C18</f>
        <v>41277.709199999998</v>
      </c>
      <c r="D16" s="21">
        <f>D17+D18</f>
        <v>2.4212108579820066</v>
      </c>
      <c r="E16" s="21">
        <f>E17+E18</f>
        <v>495332.51039999991</v>
      </c>
    </row>
    <row r="17" spans="1:5" ht="15.6" x14ac:dyDescent="0.3">
      <c r="A17" s="24" t="s">
        <v>10</v>
      </c>
      <c r="B17" s="8" t="s">
        <v>11</v>
      </c>
      <c r="C17" s="54">
        <f>(D11*13.8%)+(C10*13.8%/12)</f>
        <v>24215.046299999998</v>
      </c>
      <c r="D17" s="54">
        <f>C17/C7</f>
        <v>1.3624548503074871</v>
      </c>
      <c r="E17" s="54">
        <f>C17*12</f>
        <v>290580.55559999996</v>
      </c>
    </row>
    <row r="18" spans="1:5" ht="15.6" x14ac:dyDescent="0.3">
      <c r="A18" s="4" t="s">
        <v>16</v>
      </c>
      <c r="B18" s="8" t="s">
        <v>17</v>
      </c>
      <c r="C18" s="62">
        <f>SUM(C19:C21)</f>
        <v>17062.662899999999</v>
      </c>
      <c r="D18" s="62">
        <f>SUM(D19:D22)</f>
        <v>1.0587560076745193</v>
      </c>
      <c r="E18" s="62">
        <f t="shared" ref="E18" si="0">SUM(E19:E21)</f>
        <v>204751.95479999998</v>
      </c>
    </row>
    <row r="19" spans="1:5" ht="15.6" x14ac:dyDescent="0.3">
      <c r="A19" s="24" t="s">
        <v>18</v>
      </c>
      <c r="B19" s="8" t="s">
        <v>19</v>
      </c>
      <c r="C19" s="54">
        <f>E19/12</f>
        <v>7127.5</v>
      </c>
      <c r="D19" s="54">
        <f>C19/C7</f>
        <v>0.40102739533339715</v>
      </c>
      <c r="E19" s="54">
        <v>85530</v>
      </c>
    </row>
    <row r="20" spans="1:5" ht="28.2" x14ac:dyDescent="0.3">
      <c r="A20" s="24" t="s">
        <v>20</v>
      </c>
      <c r="B20" s="13" t="s">
        <v>21</v>
      </c>
      <c r="C20" s="54">
        <f>D20*C7</f>
        <v>4798.7370000000001</v>
      </c>
      <c r="D20" s="55">
        <v>0.27</v>
      </c>
      <c r="E20" s="54">
        <f>C20*12</f>
        <v>57584.843999999997</v>
      </c>
    </row>
    <row r="21" spans="1:5" ht="15.6" x14ac:dyDescent="0.3">
      <c r="A21" s="24" t="s">
        <v>22</v>
      </c>
      <c r="B21" s="8" t="s">
        <v>23</v>
      </c>
      <c r="C21" s="7">
        <f>D11*3.4%</f>
        <v>5136.4258999999993</v>
      </c>
      <c r="D21" s="7">
        <f>C21/C7</f>
        <v>0.28899999999999998</v>
      </c>
      <c r="E21" s="7">
        <f>C21*12</f>
        <v>61637.110799999995</v>
      </c>
    </row>
    <row r="22" spans="1:5" ht="15.6" x14ac:dyDescent="0.3">
      <c r="A22" s="24" t="s">
        <v>66</v>
      </c>
      <c r="B22" s="8" t="s">
        <v>67</v>
      </c>
      <c r="C22" s="7">
        <f>E22/12</f>
        <v>1754.7134999999998</v>
      </c>
      <c r="D22" s="7">
        <f>C22/C7</f>
        <v>9.8728612341122263E-2</v>
      </c>
      <c r="E22" s="7">
        <f>C13*1%</f>
        <v>21056.561999999998</v>
      </c>
    </row>
    <row r="23" spans="1:5" ht="18" x14ac:dyDescent="0.35">
      <c r="A23" s="25" t="s">
        <v>24</v>
      </c>
      <c r="B23" s="14" t="s">
        <v>25</v>
      </c>
      <c r="C23" s="21">
        <f>C24+C28+C35</f>
        <v>108530.64399999997</v>
      </c>
      <c r="D23" s="21">
        <f>D24+D28+D35</f>
        <v>6.1064554860997795</v>
      </c>
      <c r="E23" s="21">
        <f>E24+E28+E35</f>
        <v>1302367.7279999997</v>
      </c>
    </row>
    <row r="24" spans="1:5" ht="17.399999999999999" x14ac:dyDescent="0.3">
      <c r="A24" s="26" t="s">
        <v>26</v>
      </c>
      <c r="B24" s="15" t="s">
        <v>27</v>
      </c>
      <c r="C24" s="22">
        <f>SUM(C25:C27)</f>
        <v>4153.4829999999993</v>
      </c>
      <c r="D24" s="22">
        <f>SUM(D25:D27)</f>
        <v>0.23369490972312087</v>
      </c>
      <c r="E24" s="22">
        <f>SUM(E25:E27)</f>
        <v>49841.795999999995</v>
      </c>
    </row>
    <row r="25" spans="1:5" ht="15.6" x14ac:dyDescent="0.3">
      <c r="A25" s="24" t="s">
        <v>28</v>
      </c>
      <c r="B25" s="13" t="s">
        <v>61</v>
      </c>
      <c r="C25" s="7">
        <f>D25*C7</f>
        <v>3199.1579999999994</v>
      </c>
      <c r="D25" s="2">
        <v>0.18</v>
      </c>
      <c r="E25" s="7">
        <f>C25*12</f>
        <v>38389.895999999993</v>
      </c>
    </row>
    <row r="26" spans="1:5" ht="15.6" x14ac:dyDescent="0.3">
      <c r="A26" s="24" t="s">
        <v>29</v>
      </c>
      <c r="B26" s="2" t="s">
        <v>30</v>
      </c>
      <c r="C26" s="7">
        <f>D26*C7</f>
        <v>888.65499999999997</v>
      </c>
      <c r="D26" s="2">
        <v>0.05</v>
      </c>
      <c r="E26" s="7">
        <f>C26*12</f>
        <v>10663.86</v>
      </c>
    </row>
    <row r="27" spans="1:5" ht="15.6" x14ac:dyDescent="0.3">
      <c r="A27" s="57" t="s">
        <v>31</v>
      </c>
      <c r="B27" s="55" t="s">
        <v>57</v>
      </c>
      <c r="C27" s="55">
        <f>E27/12</f>
        <v>65.67</v>
      </c>
      <c r="D27" s="56">
        <f>C27/C7</f>
        <v>3.6949097231208966E-3</v>
      </c>
      <c r="E27" s="55">
        <f>87.56*9</f>
        <v>788.04</v>
      </c>
    </row>
    <row r="28" spans="1:5" ht="17.399999999999999" x14ac:dyDescent="0.3">
      <c r="A28" s="65" t="s">
        <v>32</v>
      </c>
      <c r="B28" s="17" t="s">
        <v>33</v>
      </c>
      <c r="C28" s="22">
        <f>SUM(C29:C34)</f>
        <v>53843.673999999992</v>
      </c>
      <c r="D28" s="22">
        <f>SUM(D29:D34)</f>
        <v>3.0295038006875554</v>
      </c>
      <c r="E28" s="22">
        <f>SUM(E29:E34)</f>
        <v>646124.08799999999</v>
      </c>
    </row>
    <row r="29" spans="1:5" ht="15.6" x14ac:dyDescent="0.3">
      <c r="A29" s="57" t="s">
        <v>34</v>
      </c>
      <c r="B29" s="13" t="s">
        <v>62</v>
      </c>
      <c r="C29" s="7">
        <f>D29*C7</f>
        <v>31102.924999999996</v>
      </c>
      <c r="D29" s="2">
        <v>1.75</v>
      </c>
      <c r="E29" s="7">
        <f t="shared" ref="E29:E34" si="1">C29*12</f>
        <v>373235.1</v>
      </c>
    </row>
    <row r="30" spans="1:5" ht="15.6" x14ac:dyDescent="0.3">
      <c r="A30" s="57" t="s">
        <v>35</v>
      </c>
      <c r="B30" s="55" t="s">
        <v>36</v>
      </c>
      <c r="C30" s="55">
        <v>4700</v>
      </c>
      <c r="D30" s="54">
        <f>C30/C7</f>
        <v>0.2644445819806337</v>
      </c>
      <c r="E30" s="2">
        <f t="shared" si="1"/>
        <v>56400</v>
      </c>
    </row>
    <row r="31" spans="1:5" ht="15.6" x14ac:dyDescent="0.3">
      <c r="A31" s="57" t="s">
        <v>37</v>
      </c>
      <c r="B31" s="80" t="s">
        <v>129</v>
      </c>
      <c r="C31" s="55">
        <v>4000</v>
      </c>
      <c r="D31" s="54">
        <f>C31/C7</f>
        <v>0.22505921870692228</v>
      </c>
      <c r="E31" s="2">
        <f t="shared" si="1"/>
        <v>48000</v>
      </c>
    </row>
    <row r="32" spans="1:5" ht="15.6" x14ac:dyDescent="0.3">
      <c r="A32" s="57" t="s">
        <v>38</v>
      </c>
      <c r="B32" s="2" t="s">
        <v>30</v>
      </c>
      <c r="C32" s="7">
        <f>D32*C7</f>
        <v>1599.5789999999997</v>
      </c>
      <c r="D32" s="2">
        <v>0.09</v>
      </c>
      <c r="E32" s="7">
        <f t="shared" si="1"/>
        <v>19194.947999999997</v>
      </c>
    </row>
    <row r="33" spans="1:5" ht="15.6" x14ac:dyDescent="0.3">
      <c r="A33" s="57" t="s">
        <v>39</v>
      </c>
      <c r="B33" s="2" t="s">
        <v>40</v>
      </c>
      <c r="C33" s="7">
        <f>D33*C7</f>
        <v>533.19299999999998</v>
      </c>
      <c r="D33" s="2">
        <v>0.03</v>
      </c>
      <c r="E33" s="7">
        <f t="shared" si="1"/>
        <v>6398.3159999999998</v>
      </c>
    </row>
    <row r="34" spans="1:5" ht="15.6" x14ac:dyDescent="0.3">
      <c r="A34" s="57" t="s">
        <v>130</v>
      </c>
      <c r="B34" s="2" t="s">
        <v>41</v>
      </c>
      <c r="C34" s="7">
        <f>D34*C7</f>
        <v>11907.976999999999</v>
      </c>
      <c r="D34" s="2">
        <v>0.67</v>
      </c>
      <c r="E34" s="7">
        <f t="shared" si="1"/>
        <v>142895.72399999999</v>
      </c>
    </row>
    <row r="35" spans="1:5" ht="31.2" x14ac:dyDescent="0.3">
      <c r="A35" s="65" t="s">
        <v>42</v>
      </c>
      <c r="B35" s="18" t="s">
        <v>43</v>
      </c>
      <c r="C35" s="22">
        <f>SUM(C36:C41)</f>
        <v>50533.486999999986</v>
      </c>
      <c r="D35" s="22">
        <f>SUM(D36:D41)</f>
        <v>2.843256775689103</v>
      </c>
      <c r="E35" s="22">
        <f>SUM(E36:E41)</f>
        <v>606401.84399999981</v>
      </c>
    </row>
    <row r="36" spans="1:5" ht="15.6" x14ac:dyDescent="0.3">
      <c r="A36" s="57" t="s">
        <v>44</v>
      </c>
      <c r="B36" s="12" t="s">
        <v>73</v>
      </c>
      <c r="C36" s="7">
        <f>D36*C7</f>
        <v>44965.942999999992</v>
      </c>
      <c r="D36" s="2">
        <v>2.5299999999999998</v>
      </c>
      <c r="E36" s="7">
        <f>C36*12</f>
        <v>539591.31599999988</v>
      </c>
    </row>
    <row r="37" spans="1:5" ht="15.6" x14ac:dyDescent="0.3">
      <c r="A37" s="57" t="s">
        <v>46</v>
      </c>
      <c r="B37" s="58" t="s">
        <v>45</v>
      </c>
      <c r="C37" s="54">
        <f>D37*C7</f>
        <v>1599.5789999999997</v>
      </c>
      <c r="D37" s="55">
        <v>0.09</v>
      </c>
      <c r="E37" s="54">
        <f t="shared" ref="E37:E41" si="2">C37*12</f>
        <v>19194.947999999997</v>
      </c>
    </row>
    <row r="38" spans="1:5" ht="15.6" x14ac:dyDescent="0.3">
      <c r="A38" s="57" t="s">
        <v>47</v>
      </c>
      <c r="B38" s="55" t="s">
        <v>48</v>
      </c>
      <c r="C38" s="54">
        <f>D38*C7</f>
        <v>355.46199999999999</v>
      </c>
      <c r="D38" s="55">
        <v>0.02</v>
      </c>
      <c r="E38" s="54">
        <f t="shared" si="2"/>
        <v>4265.5439999999999</v>
      </c>
    </row>
    <row r="39" spans="1:5" ht="15.6" x14ac:dyDescent="0.3">
      <c r="A39" s="57" t="s">
        <v>49</v>
      </c>
      <c r="B39" s="55" t="s">
        <v>50</v>
      </c>
      <c r="C39" s="54">
        <f>D39*C7</f>
        <v>533.19299999999998</v>
      </c>
      <c r="D39" s="55">
        <v>0.03</v>
      </c>
      <c r="E39" s="54">
        <f t="shared" si="2"/>
        <v>6398.3159999999998</v>
      </c>
    </row>
    <row r="40" spans="1:5" ht="15.6" x14ac:dyDescent="0.3">
      <c r="A40" s="57" t="s">
        <v>51</v>
      </c>
      <c r="B40" s="55" t="s">
        <v>124</v>
      </c>
      <c r="C40" s="59">
        <f>E40/12</f>
        <v>1302</v>
      </c>
      <c r="D40" s="59">
        <f>C40/C7</f>
        <v>7.3256775689103201E-2</v>
      </c>
      <c r="E40" s="59">
        <f>C8*4*2</f>
        <v>15624</v>
      </c>
    </row>
    <row r="41" spans="1:5" ht="15.6" x14ac:dyDescent="0.3">
      <c r="A41" s="57" t="s">
        <v>53</v>
      </c>
      <c r="B41" s="2" t="s">
        <v>30</v>
      </c>
      <c r="C41" s="7">
        <f>D41*C7</f>
        <v>1777.31</v>
      </c>
      <c r="D41" s="2">
        <v>0.1</v>
      </c>
      <c r="E41" s="7">
        <f t="shared" si="2"/>
        <v>21327.72</v>
      </c>
    </row>
    <row r="42" spans="1:5" ht="17.399999999999999" x14ac:dyDescent="0.3">
      <c r="A42" s="26" t="s">
        <v>68</v>
      </c>
      <c r="B42" s="16" t="s">
        <v>59</v>
      </c>
      <c r="C42" s="22">
        <f>D42*C7</f>
        <v>-491.71669999999324</v>
      </c>
      <c r="D42" s="22">
        <f>C9-D16-D23</f>
        <v>-2.7666344081786143E-2</v>
      </c>
      <c r="E42" s="22">
        <f>C42*12</f>
        <v>-5900.6003999999193</v>
      </c>
    </row>
    <row r="43" spans="1:5" ht="15.6" x14ac:dyDescent="0.3">
      <c r="A43" s="24"/>
      <c r="B43" s="40" t="s">
        <v>70</v>
      </c>
      <c r="C43" s="41" t="e">
        <f>SUM(#REF!)</f>
        <v>#REF!</v>
      </c>
      <c r="D43" s="41" t="e">
        <f>SUM(#REF!)</f>
        <v>#REF!</v>
      </c>
      <c r="E43" s="40" t="e">
        <f>SUM(#REF!)</f>
        <v>#REF!</v>
      </c>
    </row>
    <row r="44" spans="1:5" ht="15.6" x14ac:dyDescent="0.3">
      <c r="A44" s="31" t="s">
        <v>69</v>
      </c>
      <c r="B44" s="16" t="s">
        <v>65</v>
      </c>
      <c r="C44" s="16">
        <f>D44*C7</f>
        <v>24400</v>
      </c>
      <c r="D44" s="22">
        <f>C10/C7/12</f>
        <v>1.3728612341122259</v>
      </c>
      <c r="E44" s="16">
        <f>C44*12</f>
        <v>292800</v>
      </c>
    </row>
    <row r="45" spans="1:5" ht="15.6" x14ac:dyDescent="0.3">
      <c r="A45" s="24" t="s">
        <v>74</v>
      </c>
      <c r="B45" s="55" t="s">
        <v>72</v>
      </c>
      <c r="C45" s="76">
        <f>E45/12</f>
        <v>4133.333333333333</v>
      </c>
      <c r="D45" s="54">
        <f>C45/C7</f>
        <v>0.23256119266381967</v>
      </c>
      <c r="E45" s="55">
        <v>49600</v>
      </c>
    </row>
    <row r="46" spans="1:5" ht="15.6" x14ac:dyDescent="0.3">
      <c r="A46" s="24" t="s">
        <v>75</v>
      </c>
      <c r="B46" s="55" t="s">
        <v>78</v>
      </c>
      <c r="C46" s="76">
        <f>E46/12</f>
        <v>5266.666666666667</v>
      </c>
      <c r="D46" s="54">
        <f>C46/C7</f>
        <v>0.2963279712974477</v>
      </c>
      <c r="E46" s="55">
        <v>63200</v>
      </c>
    </row>
    <row r="47" spans="1:5" ht="15.6" x14ac:dyDescent="0.3">
      <c r="A47" s="24" t="s">
        <v>96</v>
      </c>
      <c r="B47" s="55" t="s">
        <v>125</v>
      </c>
      <c r="C47" s="76">
        <f>E47/12</f>
        <v>15000</v>
      </c>
      <c r="D47" s="54">
        <f>C47/C7</f>
        <v>0.84397207015095854</v>
      </c>
      <c r="E47" s="55">
        <v>180000</v>
      </c>
    </row>
    <row r="48" spans="1:5" ht="15.6" x14ac:dyDescent="0.3">
      <c r="A48" s="4"/>
      <c r="B48" s="42" t="s">
        <v>70</v>
      </c>
      <c r="C48" s="42"/>
      <c r="D48" s="43">
        <f>SUM(D45:D47)</f>
        <v>1.3728612341122259</v>
      </c>
      <c r="E48" s="42"/>
    </row>
    <row r="49" spans="1:5" x14ac:dyDescent="0.3">
      <c r="A49" s="119" t="s">
        <v>166</v>
      </c>
      <c r="B49" s="120"/>
      <c r="C49" s="120"/>
      <c r="D49" s="120"/>
      <c r="E49" s="121"/>
    </row>
    <row r="50" spans="1:5" x14ac:dyDescent="0.3">
      <c r="A50" s="122"/>
      <c r="B50" s="123"/>
      <c r="C50" s="123"/>
      <c r="D50" s="123"/>
      <c r="E50" s="124"/>
    </row>
    <row r="51" spans="1:5" x14ac:dyDescent="0.3">
      <c r="A51" s="122"/>
      <c r="B51" s="123"/>
      <c r="C51" s="123"/>
      <c r="D51" s="123"/>
      <c r="E51" s="124"/>
    </row>
    <row r="52" spans="1:5" x14ac:dyDescent="0.3">
      <c r="A52" s="125"/>
      <c r="B52" s="126"/>
      <c r="C52" s="126"/>
      <c r="D52" s="126"/>
      <c r="E52" s="127"/>
    </row>
    <row r="53" spans="1:5" ht="39.75" customHeight="1" x14ac:dyDescent="0.3">
      <c r="A53" s="114" t="s">
        <v>167</v>
      </c>
      <c r="B53" s="115"/>
      <c r="C53" s="3"/>
      <c r="D53" s="3"/>
      <c r="E53" s="3"/>
    </row>
  </sheetData>
  <mergeCells count="18">
    <mergeCell ref="A10:B10"/>
    <mergeCell ref="C10:E10"/>
    <mergeCell ref="A49:E52"/>
    <mergeCell ref="A53:B53"/>
    <mergeCell ref="A7:B7"/>
    <mergeCell ref="C7:E7"/>
    <mergeCell ref="A13:B13"/>
    <mergeCell ref="C13:E13"/>
    <mergeCell ref="A14:E14"/>
    <mergeCell ref="A8:B8"/>
    <mergeCell ref="C8:E8"/>
    <mergeCell ref="A9:B9"/>
    <mergeCell ref="C9:E9"/>
    <mergeCell ref="A2:E4"/>
    <mergeCell ref="A5:B5"/>
    <mergeCell ref="C5:E5"/>
    <mergeCell ref="A6:B6"/>
    <mergeCell ref="C6:E6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55"/>
  <sheetViews>
    <sheetView topLeftCell="A26" workbookViewId="0">
      <selection activeCell="G35" sqref="G35"/>
    </sheetView>
  </sheetViews>
  <sheetFormatPr defaultRowHeight="13.8" x14ac:dyDescent="0.3"/>
  <cols>
    <col min="1" max="1" width="8.5546875" style="29" customWidth="1"/>
    <col min="2" max="2" width="84.5546875" customWidth="1"/>
    <col min="3" max="3" width="11.6640625" customWidth="1"/>
    <col min="4" max="4" width="11.88671875" customWidth="1"/>
    <col min="5" max="5" width="12.33203125" customWidth="1"/>
    <col min="9" max="9" width="29.33203125" customWidth="1"/>
  </cols>
  <sheetData>
    <row r="2" spans="1:5" x14ac:dyDescent="0.3">
      <c r="A2" s="102" t="s">
        <v>84</v>
      </c>
      <c r="B2" s="102"/>
      <c r="C2" s="102"/>
      <c r="D2" s="102"/>
      <c r="E2" s="102"/>
    </row>
    <row r="3" spans="1:5" x14ac:dyDescent="0.3">
      <c r="A3" s="102"/>
      <c r="B3" s="102"/>
      <c r="C3" s="102"/>
      <c r="D3" s="102"/>
      <c r="E3" s="102"/>
    </row>
    <row r="4" spans="1:5" ht="16.5" customHeight="1" x14ac:dyDescent="0.3">
      <c r="A4" s="103"/>
      <c r="B4" s="103"/>
      <c r="C4" s="103"/>
      <c r="D4" s="103"/>
      <c r="E4" s="103"/>
    </row>
    <row r="5" spans="1:5" ht="15" customHeight="1" x14ac:dyDescent="0.3">
      <c r="A5" s="97" t="s">
        <v>0</v>
      </c>
      <c r="B5" s="98"/>
      <c r="C5" s="97" t="s">
        <v>85</v>
      </c>
      <c r="D5" s="104"/>
      <c r="E5" s="98"/>
    </row>
    <row r="6" spans="1:5" ht="17.25" customHeight="1" x14ac:dyDescent="0.3">
      <c r="A6" s="97" t="s">
        <v>2</v>
      </c>
      <c r="B6" s="98"/>
      <c r="C6" s="97">
        <v>3</v>
      </c>
      <c r="D6" s="104"/>
      <c r="E6" s="98"/>
    </row>
    <row r="7" spans="1:5" ht="16.5" customHeight="1" x14ac:dyDescent="0.3">
      <c r="A7" s="97" t="s">
        <v>3</v>
      </c>
      <c r="B7" s="98"/>
      <c r="C7" s="97">
        <v>1465.51</v>
      </c>
      <c r="D7" s="104"/>
      <c r="E7" s="98"/>
    </row>
    <row r="8" spans="1:5" ht="14.25" customHeight="1" x14ac:dyDescent="0.3">
      <c r="A8" s="97" t="s">
        <v>4</v>
      </c>
      <c r="B8" s="98"/>
      <c r="C8" s="97">
        <v>621</v>
      </c>
      <c r="D8" s="104"/>
      <c r="E8" s="98"/>
    </row>
    <row r="9" spans="1:5" ht="14.25" customHeight="1" x14ac:dyDescent="0.3">
      <c r="A9" s="97" t="s">
        <v>5</v>
      </c>
      <c r="B9" s="98"/>
      <c r="C9" s="97">
        <v>8.5</v>
      </c>
      <c r="D9" s="104"/>
      <c r="E9" s="98"/>
    </row>
    <row r="10" spans="1:5" ht="15.75" customHeight="1" x14ac:dyDescent="0.3">
      <c r="A10" s="97" t="s">
        <v>6</v>
      </c>
      <c r="B10" s="98"/>
      <c r="C10" s="97">
        <v>14000</v>
      </c>
      <c r="D10" s="104"/>
      <c r="E10" s="98"/>
    </row>
    <row r="11" spans="1:5" ht="16.5" customHeight="1" x14ac:dyDescent="0.3">
      <c r="A11" s="5"/>
      <c r="B11" s="6" t="s">
        <v>56</v>
      </c>
      <c r="C11" s="5"/>
      <c r="D11" s="70">
        <f>C7*C9</f>
        <v>12456.834999999999</v>
      </c>
      <c r="E11" s="6"/>
    </row>
    <row r="12" spans="1:5" ht="14.25" customHeight="1" x14ac:dyDescent="0.3">
      <c r="A12" s="5"/>
      <c r="B12" s="6" t="s">
        <v>64</v>
      </c>
      <c r="C12" s="5"/>
      <c r="D12" s="70">
        <f>D11+(C10/12)</f>
        <v>13623.501666666665</v>
      </c>
      <c r="E12" s="6"/>
    </row>
    <row r="13" spans="1:5" ht="16.5" customHeight="1" x14ac:dyDescent="0.3">
      <c r="A13" s="97" t="s">
        <v>7</v>
      </c>
      <c r="B13" s="98"/>
      <c r="C13" s="97">
        <f>(C7*C9*12)+C10</f>
        <v>163482.01999999999</v>
      </c>
      <c r="D13" s="104"/>
      <c r="E13" s="98"/>
    </row>
    <row r="14" spans="1:5" ht="16.5" customHeight="1" x14ac:dyDescent="0.3">
      <c r="A14" s="97" t="s">
        <v>8</v>
      </c>
      <c r="B14" s="104"/>
      <c r="C14" s="104"/>
      <c r="D14" s="104"/>
      <c r="E14" s="98"/>
    </row>
    <row r="15" spans="1:5" ht="30.75" customHeight="1" x14ac:dyDescent="0.3">
      <c r="A15" s="4"/>
      <c r="B15" s="10" t="s">
        <v>12</v>
      </c>
      <c r="C15" s="10" t="s">
        <v>13</v>
      </c>
      <c r="D15" s="11" t="s">
        <v>14</v>
      </c>
      <c r="E15" s="10" t="s">
        <v>15</v>
      </c>
    </row>
    <row r="16" spans="1:5" ht="20.100000000000001" customHeight="1" x14ac:dyDescent="0.35">
      <c r="A16" s="23">
        <v>1</v>
      </c>
      <c r="B16" s="14" t="s">
        <v>9</v>
      </c>
      <c r="C16" s="21">
        <f>C17+C18</f>
        <v>3940.3466533333331</v>
      </c>
      <c r="D16" s="21">
        <f>D17+D18</f>
        <v>2.7816812372484661</v>
      </c>
      <c r="E16" s="21">
        <f>E17+E18</f>
        <v>47284.15984</v>
      </c>
    </row>
    <row r="17" spans="1:9" ht="16.5" customHeight="1" x14ac:dyDescent="0.3">
      <c r="A17" s="24" t="s">
        <v>10</v>
      </c>
      <c r="B17" s="8" t="s">
        <v>11</v>
      </c>
      <c r="C17" s="7">
        <f>(D11*13.8%)+(C10*13.8%/12)</f>
        <v>1880.04323</v>
      </c>
      <c r="D17" s="7">
        <f>C17/C7</f>
        <v>1.2828593663639278</v>
      </c>
      <c r="E17" s="7">
        <f>C17*12</f>
        <v>22560.518759999999</v>
      </c>
    </row>
    <row r="18" spans="1:9" ht="16.5" customHeight="1" x14ac:dyDescent="0.3">
      <c r="A18" s="4" t="s">
        <v>16</v>
      </c>
      <c r="B18" s="8" t="s">
        <v>17</v>
      </c>
      <c r="C18" s="20">
        <f>SUM(C19:C21)</f>
        <v>2060.3034233333333</v>
      </c>
      <c r="D18" s="20">
        <f>SUM(D19:D22)</f>
        <v>1.4988218708845384</v>
      </c>
      <c r="E18" s="20">
        <f t="shared" ref="E18" si="0">SUM(E19:E21)</f>
        <v>24723.641080000001</v>
      </c>
    </row>
    <row r="19" spans="1:9" ht="15.75" customHeight="1" x14ac:dyDescent="0.3">
      <c r="A19" s="24" t="s">
        <v>18</v>
      </c>
      <c r="B19" s="8" t="s">
        <v>19</v>
      </c>
      <c r="C19" s="37">
        <f>E19/12</f>
        <v>1241.0833333333333</v>
      </c>
      <c r="D19" s="37">
        <f>C19/C7</f>
        <v>0.84686104723497846</v>
      </c>
      <c r="E19" s="37">
        <v>14893</v>
      </c>
      <c r="F19" s="79"/>
    </row>
    <row r="20" spans="1:9" ht="34.5" customHeight="1" x14ac:dyDescent="0.3">
      <c r="A20" s="24" t="s">
        <v>20</v>
      </c>
      <c r="B20" s="13" t="s">
        <v>21</v>
      </c>
      <c r="C20" s="7">
        <f>D20*C7</f>
        <v>395.68770000000001</v>
      </c>
      <c r="D20" s="2">
        <v>0.27</v>
      </c>
      <c r="E20" s="7">
        <f>C20*12</f>
        <v>4748.2524000000003</v>
      </c>
    </row>
    <row r="21" spans="1:9" ht="15" customHeight="1" x14ac:dyDescent="0.3">
      <c r="A21" s="24" t="s">
        <v>22</v>
      </c>
      <c r="B21" s="8" t="s">
        <v>23</v>
      </c>
      <c r="C21" s="7">
        <f>D11*3.4%</f>
        <v>423.53239000000002</v>
      </c>
      <c r="D21" s="7">
        <f>C21/C7</f>
        <v>0.28900000000000003</v>
      </c>
      <c r="E21" s="7">
        <f>C21*12</f>
        <v>5082.38868</v>
      </c>
    </row>
    <row r="22" spans="1:9" ht="17.25" customHeight="1" x14ac:dyDescent="0.3">
      <c r="A22" s="24" t="s">
        <v>66</v>
      </c>
      <c r="B22" s="8" t="s">
        <v>67</v>
      </c>
      <c r="C22" s="7">
        <f>E22/12</f>
        <v>136.23501666666667</v>
      </c>
      <c r="D22" s="7">
        <f>C22/C7</f>
        <v>9.2960823649560001E-2</v>
      </c>
      <c r="E22" s="7">
        <f>C13*1%</f>
        <v>1634.8201999999999</v>
      </c>
    </row>
    <row r="23" spans="1:9" ht="15.75" customHeight="1" x14ac:dyDescent="0.35">
      <c r="A23" s="25" t="s">
        <v>24</v>
      </c>
      <c r="B23" s="14" t="s">
        <v>25</v>
      </c>
      <c r="C23" s="21">
        <f>C24+C27+C34</f>
        <v>9856.9253999999983</v>
      </c>
      <c r="D23" s="21">
        <f>D24+D27+D34</f>
        <v>7.6293750298530885</v>
      </c>
      <c r="E23" s="21">
        <f>E24+E27+E34</f>
        <v>118283.1048</v>
      </c>
    </row>
    <row r="24" spans="1:9" ht="16.5" customHeight="1" x14ac:dyDescent="0.3">
      <c r="A24" s="26" t="s">
        <v>26</v>
      </c>
      <c r="B24" s="15" t="s">
        <v>27</v>
      </c>
      <c r="C24" s="22">
        <f>SUM(C25:C26)</f>
        <v>337.06729999999999</v>
      </c>
      <c r="D24" s="22">
        <f>SUM(D25:D26)</f>
        <v>0.22999999999999998</v>
      </c>
      <c r="E24" s="22">
        <f>SUM(E25:E26)</f>
        <v>4044.8075999999996</v>
      </c>
    </row>
    <row r="25" spans="1:9" ht="15" customHeight="1" x14ac:dyDescent="0.3">
      <c r="A25" s="24" t="s">
        <v>28</v>
      </c>
      <c r="B25" s="13" t="s">
        <v>61</v>
      </c>
      <c r="C25" s="7">
        <f>D25*C7</f>
        <v>263.79179999999997</v>
      </c>
      <c r="D25" s="2">
        <v>0.18</v>
      </c>
      <c r="E25" s="7">
        <f>C25*12</f>
        <v>3165.5015999999996</v>
      </c>
    </row>
    <row r="26" spans="1:9" ht="15.75" customHeight="1" x14ac:dyDescent="0.3">
      <c r="A26" s="24" t="s">
        <v>29</v>
      </c>
      <c r="B26" s="2" t="s">
        <v>30</v>
      </c>
      <c r="C26" s="7">
        <f>D26*C7</f>
        <v>73.275500000000008</v>
      </c>
      <c r="D26" s="2">
        <v>0.05</v>
      </c>
      <c r="E26" s="7">
        <f>C26*12</f>
        <v>879.30600000000004</v>
      </c>
    </row>
    <row r="27" spans="1:9" ht="18" customHeight="1" x14ac:dyDescent="0.3">
      <c r="A27" s="26" t="s">
        <v>32</v>
      </c>
      <c r="B27" s="17" t="s">
        <v>33</v>
      </c>
      <c r="C27" s="22">
        <f>SUM(C28:C32)</f>
        <v>5046.3953999999994</v>
      </c>
      <c r="D27" s="22">
        <f>SUM(D28:D33)</f>
        <v>4.3468795163458456</v>
      </c>
      <c r="E27" s="22">
        <f>SUM(E28:E32)</f>
        <v>60556.7448</v>
      </c>
    </row>
    <row r="28" spans="1:9" ht="18.75" customHeight="1" x14ac:dyDescent="0.3">
      <c r="A28" s="24" t="s">
        <v>34</v>
      </c>
      <c r="B28" s="13" t="s">
        <v>62</v>
      </c>
      <c r="C28" s="7">
        <f>D28*C7</f>
        <v>2564.6424999999999</v>
      </c>
      <c r="D28" s="2">
        <v>1.75</v>
      </c>
      <c r="E28" s="7">
        <f>C28*12</f>
        <v>30775.71</v>
      </c>
    </row>
    <row r="29" spans="1:9" ht="15.75" customHeight="1" x14ac:dyDescent="0.35">
      <c r="A29" s="57" t="s">
        <v>35</v>
      </c>
      <c r="B29" s="2" t="s">
        <v>174</v>
      </c>
      <c r="C29" s="34">
        <v>1324</v>
      </c>
      <c r="D29" s="33">
        <f>C29/C7</f>
        <v>0.90343975817292277</v>
      </c>
      <c r="E29" s="34">
        <f>C29*12</f>
        <v>15888</v>
      </c>
      <c r="F29" s="151"/>
      <c r="G29" s="152"/>
      <c r="H29" s="152"/>
      <c r="I29" s="152"/>
    </row>
    <row r="30" spans="1:9" ht="14.25" customHeight="1" x14ac:dyDescent="0.3">
      <c r="A30" s="57" t="s">
        <v>37</v>
      </c>
      <c r="B30" s="2" t="s">
        <v>30</v>
      </c>
      <c r="C30" s="7">
        <f>D30*C7</f>
        <v>131.89589999999998</v>
      </c>
      <c r="D30" s="2">
        <v>0.09</v>
      </c>
      <c r="E30" s="7">
        <f>C30*12</f>
        <v>1582.7507999999998</v>
      </c>
    </row>
    <row r="31" spans="1:9" ht="15" customHeight="1" x14ac:dyDescent="0.3">
      <c r="A31" s="57" t="s">
        <v>38</v>
      </c>
      <c r="B31" s="2" t="s">
        <v>40</v>
      </c>
      <c r="C31" s="7">
        <f>D31*C7</f>
        <v>43.965299999999999</v>
      </c>
      <c r="D31" s="2">
        <v>0.03</v>
      </c>
      <c r="E31" s="7">
        <f>C31*12</f>
        <v>527.58359999999993</v>
      </c>
    </row>
    <row r="32" spans="1:9" ht="15" customHeight="1" x14ac:dyDescent="0.3">
      <c r="A32" s="57" t="s">
        <v>39</v>
      </c>
      <c r="B32" s="2" t="s">
        <v>41</v>
      </c>
      <c r="C32" s="7">
        <f>D32*C7</f>
        <v>981.89170000000001</v>
      </c>
      <c r="D32" s="2">
        <v>0.67</v>
      </c>
      <c r="E32" s="7">
        <f>C32*12</f>
        <v>11782.7004</v>
      </c>
    </row>
    <row r="33" spans="1:5" ht="16.5" customHeight="1" x14ac:dyDescent="0.3">
      <c r="A33" s="57" t="s">
        <v>130</v>
      </c>
      <c r="B33" s="2" t="s">
        <v>131</v>
      </c>
      <c r="C33" s="7">
        <f>E33/12</f>
        <v>1324</v>
      </c>
      <c r="D33" s="7">
        <f>C33/C7</f>
        <v>0.90343975817292277</v>
      </c>
      <c r="E33" s="7">
        <v>15888</v>
      </c>
    </row>
    <row r="34" spans="1:5" ht="17.25" customHeight="1" x14ac:dyDescent="0.3">
      <c r="A34" s="65" t="s">
        <v>42</v>
      </c>
      <c r="B34" s="18" t="s">
        <v>43</v>
      </c>
      <c r="C34" s="22">
        <f>SUM(C35:C41)</f>
        <v>4473.4626999999991</v>
      </c>
      <c r="D34" s="22">
        <f>SUM(D35:D41)</f>
        <v>3.0524955135072429</v>
      </c>
      <c r="E34" s="22">
        <f>SUM(E35:E41)</f>
        <v>53681.552399999993</v>
      </c>
    </row>
    <row r="35" spans="1:5" ht="18.75" customHeight="1" x14ac:dyDescent="0.3">
      <c r="A35" s="24" t="s">
        <v>44</v>
      </c>
      <c r="B35" s="12" t="s">
        <v>63</v>
      </c>
      <c r="C35" s="7">
        <f>D35*C7</f>
        <v>3707.7402999999995</v>
      </c>
      <c r="D35" s="2">
        <v>2.5299999999999998</v>
      </c>
      <c r="E35" s="7">
        <f>C35*12</f>
        <v>44492.883599999994</v>
      </c>
    </row>
    <row r="36" spans="1:5" ht="14.25" customHeight="1" x14ac:dyDescent="0.3">
      <c r="A36" s="24" t="s">
        <v>46</v>
      </c>
      <c r="B36" s="1" t="s">
        <v>45</v>
      </c>
      <c r="C36" s="7">
        <f>D36*C7</f>
        <v>131.89589999999998</v>
      </c>
      <c r="D36" s="2">
        <v>0.09</v>
      </c>
      <c r="E36" s="7">
        <f t="shared" ref="E36:E41" si="1">C36*12</f>
        <v>1582.7507999999998</v>
      </c>
    </row>
    <row r="37" spans="1:5" ht="16.5" customHeight="1" x14ac:dyDescent="0.3">
      <c r="A37" s="57" t="s">
        <v>47</v>
      </c>
      <c r="B37" s="2" t="s">
        <v>48</v>
      </c>
      <c r="C37" s="7">
        <f>D37*C7</f>
        <v>29.310200000000002</v>
      </c>
      <c r="D37" s="2">
        <v>0.02</v>
      </c>
      <c r="E37" s="7">
        <f t="shared" si="1"/>
        <v>351.72239999999999</v>
      </c>
    </row>
    <row r="38" spans="1:5" ht="17.25" customHeight="1" x14ac:dyDescent="0.3">
      <c r="A38" s="57" t="s">
        <v>49</v>
      </c>
      <c r="B38" s="2" t="s">
        <v>50</v>
      </c>
      <c r="C38" s="7">
        <f>D38*C7</f>
        <v>43.965299999999999</v>
      </c>
      <c r="D38" s="2">
        <v>0.03</v>
      </c>
      <c r="E38" s="7">
        <f t="shared" si="1"/>
        <v>527.58359999999993</v>
      </c>
    </row>
    <row r="39" spans="1:5" ht="15.75" customHeight="1" x14ac:dyDescent="0.3">
      <c r="A39" s="57" t="s">
        <v>51</v>
      </c>
      <c r="B39" s="2" t="s">
        <v>52</v>
      </c>
      <c r="C39" s="37">
        <f>E39/12</f>
        <v>414</v>
      </c>
      <c r="D39" s="37">
        <f>C39/C7</f>
        <v>0.28249551350724322</v>
      </c>
      <c r="E39" s="37">
        <f>C8*4*2</f>
        <v>4968</v>
      </c>
    </row>
    <row r="40" spans="1:5" ht="15.75" customHeight="1" x14ac:dyDescent="0.3">
      <c r="A40" s="57" t="s">
        <v>53</v>
      </c>
      <c r="B40" s="2" t="s">
        <v>54</v>
      </c>
      <c r="C40" s="7">
        <v>0</v>
      </c>
      <c r="D40" s="7">
        <f>C40/C7</f>
        <v>0</v>
      </c>
      <c r="E40" s="7">
        <f t="shared" si="1"/>
        <v>0</v>
      </c>
    </row>
    <row r="41" spans="1:5" ht="14.25" customHeight="1" x14ac:dyDescent="0.3">
      <c r="A41" s="57" t="s">
        <v>55</v>
      </c>
      <c r="B41" s="2" t="s">
        <v>30</v>
      </c>
      <c r="C41" s="7">
        <f>D41*C7</f>
        <v>146.55100000000002</v>
      </c>
      <c r="D41" s="2">
        <v>0.1</v>
      </c>
      <c r="E41" s="7">
        <f t="shared" si="1"/>
        <v>1758.6120000000001</v>
      </c>
    </row>
    <row r="42" spans="1:5" ht="20.100000000000001" customHeight="1" x14ac:dyDescent="0.3">
      <c r="A42" s="26" t="s">
        <v>58</v>
      </c>
      <c r="B42" s="16" t="s">
        <v>59</v>
      </c>
      <c r="C42" s="22">
        <f>D42*C7</f>
        <v>-2800.6720699999992</v>
      </c>
      <c r="D42" s="22">
        <f>C9-D16-D23</f>
        <v>-1.9110562671015545</v>
      </c>
      <c r="E42" s="22">
        <f>C42*12</f>
        <v>-33608.064839999992</v>
      </c>
    </row>
    <row r="43" spans="1:5" ht="20.100000000000001" customHeight="1" x14ac:dyDescent="0.3">
      <c r="A43" s="24" t="s">
        <v>77</v>
      </c>
      <c r="B43" s="2"/>
      <c r="C43" s="7">
        <f>E43/12</f>
        <v>0</v>
      </c>
      <c r="D43" s="7">
        <f>C43/C7</f>
        <v>0</v>
      </c>
      <c r="E43" s="36">
        <v>0</v>
      </c>
    </row>
    <row r="44" spans="1:5" ht="20.100000000000001" customHeight="1" x14ac:dyDescent="0.3">
      <c r="A44" s="24"/>
      <c r="B44" s="40" t="s">
        <v>70</v>
      </c>
      <c r="C44" s="41">
        <f>SUM(C43:C43)</f>
        <v>0</v>
      </c>
      <c r="D44" s="41">
        <f>SUM(D43:D43)</f>
        <v>0</v>
      </c>
      <c r="E44" s="40">
        <f>SUM(E43:E43)</f>
        <v>0</v>
      </c>
    </row>
    <row r="45" spans="1:5" ht="20.100000000000001" customHeight="1" x14ac:dyDescent="0.3">
      <c r="A45" s="31"/>
      <c r="B45" s="32" t="s">
        <v>60</v>
      </c>
      <c r="C45" s="30">
        <f>D45*C7</f>
        <v>12456.834999999999</v>
      </c>
      <c r="D45" s="30">
        <f>D42+D23+D16</f>
        <v>8.5</v>
      </c>
      <c r="E45" s="30">
        <f>C45*12</f>
        <v>149482.01999999999</v>
      </c>
    </row>
    <row r="46" spans="1:5" ht="18.75" customHeight="1" x14ac:dyDescent="0.3">
      <c r="A46" s="31" t="s">
        <v>69</v>
      </c>
      <c r="B46" s="16" t="s">
        <v>65</v>
      </c>
      <c r="C46" s="16">
        <f>D46*C7</f>
        <v>1166.6666666666667</v>
      </c>
      <c r="D46" s="22">
        <f>C10/C7/12</f>
        <v>0.79608236495599938</v>
      </c>
      <c r="E46" s="16">
        <f>C46*12</f>
        <v>14000</v>
      </c>
    </row>
    <row r="47" spans="1:5" ht="16.5" customHeight="1" x14ac:dyDescent="0.3">
      <c r="A47" s="24" t="s">
        <v>74</v>
      </c>
      <c r="B47" s="55" t="s">
        <v>72</v>
      </c>
      <c r="C47" s="76">
        <f>E47/12</f>
        <v>1166.6666666666667</v>
      </c>
      <c r="D47" s="54">
        <f>C47/C7</f>
        <v>0.79608236495599949</v>
      </c>
      <c r="E47" s="55">
        <v>14000</v>
      </c>
    </row>
    <row r="48" spans="1:5" ht="15.6" x14ac:dyDescent="0.3">
      <c r="A48" s="4"/>
      <c r="B48" s="42" t="s">
        <v>70</v>
      </c>
      <c r="C48" s="42"/>
      <c r="D48" s="43">
        <f>SUM(D47:D47)</f>
        <v>0.79608236495599949</v>
      </c>
      <c r="E48" s="42"/>
    </row>
    <row r="49" spans="1:5" x14ac:dyDescent="0.3">
      <c r="A49" s="119" t="s">
        <v>166</v>
      </c>
      <c r="B49" s="120"/>
      <c r="C49" s="120"/>
      <c r="D49" s="120"/>
      <c r="E49" s="121"/>
    </row>
    <row r="50" spans="1:5" ht="18.75" customHeight="1" x14ac:dyDescent="0.3">
      <c r="A50" s="122"/>
      <c r="B50" s="123"/>
      <c r="C50" s="123"/>
      <c r="D50" s="123"/>
      <c r="E50" s="124"/>
    </row>
    <row r="51" spans="1:5" x14ac:dyDescent="0.3">
      <c r="A51" s="122"/>
      <c r="B51" s="123"/>
      <c r="C51" s="123"/>
      <c r="D51" s="123"/>
      <c r="E51" s="124"/>
    </row>
    <row r="52" spans="1:5" ht="3" customHeight="1" x14ac:dyDescent="0.3">
      <c r="A52" s="125"/>
      <c r="B52" s="126"/>
      <c r="C52" s="126"/>
      <c r="D52" s="126"/>
      <c r="E52" s="127"/>
    </row>
    <row r="53" spans="1:5" ht="37.5" customHeight="1" x14ac:dyDescent="0.3">
      <c r="A53" s="114" t="s">
        <v>167</v>
      </c>
      <c r="B53" s="115"/>
      <c r="C53" s="3"/>
      <c r="D53" s="3"/>
      <c r="E53" s="3"/>
    </row>
    <row r="54" spans="1:5" ht="15.6" x14ac:dyDescent="0.3">
      <c r="A54" s="28"/>
      <c r="B54" s="3"/>
      <c r="C54" s="3"/>
      <c r="D54" s="3"/>
      <c r="E54" s="3"/>
    </row>
    <row r="55" spans="1:5" ht="15.6" x14ac:dyDescent="0.3">
      <c r="A55" s="28"/>
      <c r="B55" s="3"/>
      <c r="C55" s="3"/>
      <c r="D55" s="3"/>
      <c r="E55" s="3"/>
    </row>
  </sheetData>
  <mergeCells count="19">
    <mergeCell ref="F29:I29"/>
    <mergeCell ref="A13:B13"/>
    <mergeCell ref="C13:E13"/>
    <mergeCell ref="A14:E14"/>
    <mergeCell ref="A8:B8"/>
    <mergeCell ref="C8:E8"/>
    <mergeCell ref="A9:B9"/>
    <mergeCell ref="C9:E9"/>
    <mergeCell ref="A10:B10"/>
    <mergeCell ref="C10:E10"/>
    <mergeCell ref="A49:E52"/>
    <mergeCell ref="A53:B53"/>
    <mergeCell ref="A7:B7"/>
    <mergeCell ref="C7:E7"/>
    <mergeCell ref="A2:E4"/>
    <mergeCell ref="A5:B5"/>
    <mergeCell ref="C5:E5"/>
    <mergeCell ref="A6:B6"/>
    <mergeCell ref="C6:E6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1"/>
  <sheetViews>
    <sheetView topLeftCell="A27" workbookViewId="0">
      <selection activeCell="B45" sqref="B45"/>
    </sheetView>
  </sheetViews>
  <sheetFormatPr defaultRowHeight="13.8" x14ac:dyDescent="0.3"/>
  <cols>
    <col min="1" max="1" width="8.5546875" style="29" customWidth="1"/>
    <col min="2" max="2" width="84.44140625" customWidth="1"/>
    <col min="3" max="3" width="11.6640625" customWidth="1"/>
    <col min="4" max="4" width="11.88671875" customWidth="1"/>
    <col min="5" max="5" width="12.33203125" customWidth="1"/>
  </cols>
  <sheetData>
    <row r="2" spans="1:5" x14ac:dyDescent="0.3">
      <c r="A2" s="102" t="s">
        <v>118</v>
      </c>
      <c r="B2" s="102"/>
      <c r="C2" s="102"/>
      <c r="D2" s="102"/>
      <c r="E2" s="102"/>
    </row>
    <row r="3" spans="1:5" x14ac:dyDescent="0.3">
      <c r="A3" s="102"/>
      <c r="B3" s="102"/>
      <c r="C3" s="102"/>
      <c r="D3" s="102"/>
      <c r="E3" s="102"/>
    </row>
    <row r="4" spans="1:5" x14ac:dyDescent="0.3">
      <c r="A4" s="103"/>
      <c r="B4" s="103"/>
      <c r="C4" s="103"/>
      <c r="D4" s="103"/>
      <c r="E4" s="103"/>
    </row>
    <row r="5" spans="1:5" ht="15.6" x14ac:dyDescent="0.3">
      <c r="A5" s="97" t="s">
        <v>0</v>
      </c>
      <c r="B5" s="98"/>
      <c r="C5" s="97" t="s">
        <v>88</v>
      </c>
      <c r="D5" s="104"/>
      <c r="E5" s="98"/>
    </row>
    <row r="6" spans="1:5" ht="15.6" x14ac:dyDescent="0.3">
      <c r="A6" s="97" t="s">
        <v>2</v>
      </c>
      <c r="B6" s="98"/>
      <c r="C6" s="133">
        <v>1</v>
      </c>
      <c r="D6" s="134"/>
      <c r="E6" s="135"/>
    </row>
    <row r="7" spans="1:5" ht="15.6" x14ac:dyDescent="0.3">
      <c r="A7" s="97" t="s">
        <v>3</v>
      </c>
      <c r="B7" s="98"/>
      <c r="C7" s="133">
        <v>3204.47</v>
      </c>
      <c r="D7" s="134"/>
      <c r="E7" s="135"/>
    </row>
    <row r="8" spans="1:5" ht="15.6" x14ac:dyDescent="0.3">
      <c r="A8" s="97" t="s">
        <v>4</v>
      </c>
      <c r="B8" s="98"/>
      <c r="C8" s="133">
        <v>791.66</v>
      </c>
      <c r="D8" s="134"/>
      <c r="E8" s="135"/>
    </row>
    <row r="9" spans="1:5" ht="15.6" x14ac:dyDescent="0.3">
      <c r="A9" s="97" t="s">
        <v>5</v>
      </c>
      <c r="B9" s="98"/>
      <c r="C9" s="133">
        <v>9.34</v>
      </c>
      <c r="D9" s="134"/>
      <c r="E9" s="135"/>
    </row>
    <row r="10" spans="1:5" ht="15.6" x14ac:dyDescent="0.3">
      <c r="A10" s="97" t="s">
        <v>6</v>
      </c>
      <c r="B10" s="98"/>
      <c r="C10" s="133">
        <v>10200</v>
      </c>
      <c r="D10" s="134"/>
      <c r="E10" s="135"/>
    </row>
    <row r="11" spans="1:5" ht="15.6" x14ac:dyDescent="0.3">
      <c r="A11" s="50"/>
      <c r="B11" s="51" t="s">
        <v>56</v>
      </c>
      <c r="C11" s="50"/>
      <c r="D11" s="52">
        <f>C7*C9</f>
        <v>29929.749799999998</v>
      </c>
      <c r="E11" s="51"/>
    </row>
    <row r="12" spans="1:5" ht="15.6" x14ac:dyDescent="0.3">
      <c r="A12" s="50"/>
      <c r="B12" s="51" t="s">
        <v>64</v>
      </c>
      <c r="C12" s="50"/>
      <c r="D12" s="52">
        <f>D11+(C10/12)</f>
        <v>30779.749799999998</v>
      </c>
      <c r="E12" s="51"/>
    </row>
    <row r="13" spans="1:5" ht="15.6" x14ac:dyDescent="0.3">
      <c r="A13" s="97" t="s">
        <v>7</v>
      </c>
      <c r="B13" s="98"/>
      <c r="C13" s="128">
        <f>(C7*C9*12)+C10</f>
        <v>369356.9976</v>
      </c>
      <c r="D13" s="129"/>
      <c r="E13" s="130"/>
    </row>
    <row r="14" spans="1:5" ht="15.6" x14ac:dyDescent="0.3">
      <c r="A14" s="97" t="s">
        <v>8</v>
      </c>
      <c r="B14" s="104"/>
      <c r="C14" s="104"/>
      <c r="D14" s="104"/>
      <c r="E14" s="98"/>
    </row>
    <row r="15" spans="1:5" ht="46.8" x14ac:dyDescent="0.3">
      <c r="A15" s="4"/>
      <c r="B15" s="10" t="s">
        <v>12</v>
      </c>
      <c r="C15" s="10" t="s">
        <v>13</v>
      </c>
      <c r="D15" s="11" t="s">
        <v>14</v>
      </c>
      <c r="E15" s="10" t="s">
        <v>15</v>
      </c>
    </row>
    <row r="16" spans="1:5" ht="18" x14ac:dyDescent="0.35">
      <c r="A16" s="23">
        <v>1</v>
      </c>
      <c r="B16" s="14" t="s">
        <v>9</v>
      </c>
      <c r="C16" s="21">
        <f>C17+C18</f>
        <v>10270.461931786667</v>
      </c>
      <c r="D16" s="21">
        <f>D17+D18</f>
        <v>3.3010948549328489</v>
      </c>
      <c r="E16" s="21">
        <f>E17+E18</f>
        <v>123245.54318144001</v>
      </c>
    </row>
    <row r="17" spans="1:5" ht="15.6" x14ac:dyDescent="0.3">
      <c r="A17" s="24" t="s">
        <v>10</v>
      </c>
      <c r="B17" s="8" t="s">
        <v>11</v>
      </c>
      <c r="C17" s="54">
        <f>(D11*14.04%)+(C10*14.04%/12)</f>
        <v>4321.4768719200001</v>
      </c>
      <c r="D17" s="54">
        <f>C17/C7</f>
        <v>1.3485777279612543</v>
      </c>
      <c r="E17" s="54">
        <f>C17*12</f>
        <v>51857.722463040001</v>
      </c>
    </row>
    <row r="18" spans="1:5" ht="15.6" x14ac:dyDescent="0.3">
      <c r="A18" s="4" t="s">
        <v>16</v>
      </c>
      <c r="B18" s="8" t="s">
        <v>17</v>
      </c>
      <c r="C18" s="62">
        <f>SUM(C19:C21)</f>
        <v>5948.9850598666662</v>
      </c>
      <c r="D18" s="62">
        <f>SUM(D19:D22)</f>
        <v>1.9525171269715949</v>
      </c>
      <c r="E18" s="62">
        <f t="shared" ref="E18" si="0">SUM(E19:E21)</f>
        <v>71387.820718400006</v>
      </c>
    </row>
    <row r="19" spans="1:5" ht="15.6" x14ac:dyDescent="0.3">
      <c r="A19" s="24" t="s">
        <v>18</v>
      </c>
      <c r="B19" s="8" t="s">
        <v>19</v>
      </c>
      <c r="C19" s="54">
        <f>E19/12</f>
        <v>4066.1666666666665</v>
      </c>
      <c r="D19" s="54">
        <f>C19/C7</f>
        <v>1.2689045822450098</v>
      </c>
      <c r="E19" s="54">
        <v>48794</v>
      </c>
    </row>
    <row r="20" spans="1:5" ht="28.2" x14ac:dyDescent="0.3">
      <c r="A20" s="24" t="s">
        <v>20</v>
      </c>
      <c r="B20" s="13" t="s">
        <v>21</v>
      </c>
      <c r="C20" s="54">
        <f>D20*C7</f>
        <v>865.20690000000002</v>
      </c>
      <c r="D20" s="55">
        <v>0.27</v>
      </c>
      <c r="E20" s="54">
        <f>C20*12</f>
        <v>10382.4828</v>
      </c>
    </row>
    <row r="21" spans="1:5" ht="15.6" x14ac:dyDescent="0.3">
      <c r="A21" s="24" t="s">
        <v>22</v>
      </c>
      <c r="B21" s="8" t="s">
        <v>23</v>
      </c>
      <c r="C21" s="7">
        <f>D11*3.4%</f>
        <v>1017.6114932</v>
      </c>
      <c r="D21" s="7">
        <f>C21/C7</f>
        <v>0.31756000000000001</v>
      </c>
      <c r="E21" s="7">
        <f>C21*12</f>
        <v>12211.3379184</v>
      </c>
    </row>
    <row r="22" spans="1:5" ht="15.6" x14ac:dyDescent="0.3">
      <c r="A22" s="24" t="s">
        <v>66</v>
      </c>
      <c r="B22" s="8" t="s">
        <v>67</v>
      </c>
      <c r="C22" s="7">
        <f>E22/12</f>
        <v>307.79749800000002</v>
      </c>
      <c r="D22" s="7">
        <f>C22/C7</f>
        <v>9.605254472658506E-2</v>
      </c>
      <c r="E22" s="7">
        <f>C13*1%</f>
        <v>3693.5699760000002</v>
      </c>
    </row>
    <row r="23" spans="1:5" ht="18" x14ac:dyDescent="0.35">
      <c r="A23" s="25" t="s">
        <v>24</v>
      </c>
      <c r="B23" s="14" t="s">
        <v>25</v>
      </c>
      <c r="C23" s="21">
        <f>C24+C27+C33</f>
        <v>20630.537133333331</v>
      </c>
      <c r="D23" s="21">
        <f>D24+D27+D33</f>
        <v>6.4380497034871071</v>
      </c>
      <c r="E23" s="21">
        <f>E24+E27+E33</f>
        <v>247566.44559999998</v>
      </c>
    </row>
    <row r="24" spans="1:5" ht="17.399999999999999" x14ac:dyDescent="0.3">
      <c r="A24" s="26" t="s">
        <v>26</v>
      </c>
      <c r="B24" s="15" t="s">
        <v>27</v>
      </c>
      <c r="C24" s="22">
        <f>SUM(C25:C26)</f>
        <v>737.02809999999999</v>
      </c>
      <c r="D24" s="22">
        <f>SUM(D25:D26)</f>
        <v>0.22999999999999998</v>
      </c>
      <c r="E24" s="22">
        <f>SUM(E25:E26)</f>
        <v>8844.3371999999999</v>
      </c>
    </row>
    <row r="25" spans="1:5" ht="15.6" x14ac:dyDescent="0.3">
      <c r="A25" s="24" t="s">
        <v>28</v>
      </c>
      <c r="B25" s="13" t="s">
        <v>61</v>
      </c>
      <c r="C25" s="7">
        <f>D25*C7</f>
        <v>576.80459999999994</v>
      </c>
      <c r="D25" s="2">
        <v>0.18</v>
      </c>
      <c r="E25" s="7">
        <f>C25*12</f>
        <v>6921.6551999999992</v>
      </c>
    </row>
    <row r="26" spans="1:5" ht="15.6" x14ac:dyDescent="0.3">
      <c r="A26" s="24" t="s">
        <v>29</v>
      </c>
      <c r="B26" s="2" t="s">
        <v>30</v>
      </c>
      <c r="C26" s="7">
        <f>D26*C7</f>
        <v>160.2235</v>
      </c>
      <c r="D26" s="2">
        <v>0.05</v>
      </c>
      <c r="E26" s="7">
        <f>C26*12</f>
        <v>1922.682</v>
      </c>
    </row>
    <row r="27" spans="1:5" ht="17.399999999999999" x14ac:dyDescent="0.3">
      <c r="A27" s="65" t="s">
        <v>32</v>
      </c>
      <c r="B27" s="17" t="s">
        <v>33</v>
      </c>
      <c r="C27" s="22">
        <f>SUM(C28:C32)</f>
        <v>10489.353799999999</v>
      </c>
      <c r="D27" s="22">
        <f>SUM(D28:D32)</f>
        <v>3.2733506008793962</v>
      </c>
      <c r="E27" s="22">
        <f>SUM(E28:E32)</f>
        <v>125872.24560000001</v>
      </c>
    </row>
    <row r="28" spans="1:5" ht="15.6" x14ac:dyDescent="0.3">
      <c r="A28" s="57" t="s">
        <v>34</v>
      </c>
      <c r="B28" s="13" t="s">
        <v>62</v>
      </c>
      <c r="C28" s="7">
        <f>D28*C7</f>
        <v>5607.8224999999993</v>
      </c>
      <c r="D28" s="2">
        <v>1.75</v>
      </c>
      <c r="E28" s="7">
        <f>C28*12</f>
        <v>67293.87</v>
      </c>
    </row>
    <row r="29" spans="1:5" ht="15.6" x14ac:dyDescent="0.3">
      <c r="A29" s="57" t="s">
        <v>35</v>
      </c>
      <c r="B29" s="55" t="s">
        <v>36</v>
      </c>
      <c r="C29" s="55">
        <v>2350</v>
      </c>
      <c r="D29" s="7">
        <f>C29/C7</f>
        <v>0.73335060087939663</v>
      </c>
      <c r="E29" s="2">
        <f>C29*12</f>
        <v>28200</v>
      </c>
    </row>
    <row r="30" spans="1:5" ht="15.6" x14ac:dyDescent="0.3">
      <c r="A30" s="57" t="s">
        <v>37</v>
      </c>
      <c r="B30" s="2" t="s">
        <v>30</v>
      </c>
      <c r="C30" s="7">
        <f>D30*C7</f>
        <v>288.40229999999997</v>
      </c>
      <c r="D30" s="2">
        <v>0.09</v>
      </c>
      <c r="E30" s="7">
        <f>C30*12</f>
        <v>3460.8275999999996</v>
      </c>
    </row>
    <row r="31" spans="1:5" ht="15.6" x14ac:dyDescent="0.3">
      <c r="A31" s="57" t="s">
        <v>38</v>
      </c>
      <c r="B31" s="2" t="s">
        <v>40</v>
      </c>
      <c r="C31" s="7">
        <f>D31*C7</f>
        <v>96.134099999999989</v>
      </c>
      <c r="D31" s="2">
        <v>0.03</v>
      </c>
      <c r="E31" s="7">
        <f>C31*12</f>
        <v>1153.6091999999999</v>
      </c>
    </row>
    <row r="32" spans="1:5" ht="15.6" x14ac:dyDescent="0.3">
      <c r="A32" s="57" t="s">
        <v>39</v>
      </c>
      <c r="B32" s="2" t="s">
        <v>41</v>
      </c>
      <c r="C32" s="7">
        <f>D32*C7</f>
        <v>2146.9949000000001</v>
      </c>
      <c r="D32" s="2">
        <v>0.67</v>
      </c>
      <c r="E32" s="7">
        <f>C32*12</f>
        <v>25763.938800000004</v>
      </c>
    </row>
    <row r="33" spans="1:5" ht="17.399999999999999" x14ac:dyDescent="0.3">
      <c r="A33" s="65" t="s">
        <v>42</v>
      </c>
      <c r="B33" s="18" t="s">
        <v>43</v>
      </c>
      <c r="C33" s="22">
        <f>SUM(C34:C39)</f>
        <v>9404.1552333333311</v>
      </c>
      <c r="D33" s="22">
        <f>SUM(D34:D39)</f>
        <v>2.9346991026077109</v>
      </c>
      <c r="E33" s="22">
        <f>SUM(E34:E39)</f>
        <v>112849.86279999999</v>
      </c>
    </row>
    <row r="34" spans="1:5" ht="15.6" x14ac:dyDescent="0.3">
      <c r="A34" s="57" t="s">
        <v>44</v>
      </c>
      <c r="B34" s="12" t="s">
        <v>73</v>
      </c>
      <c r="C34" s="7">
        <f>D34*C7</f>
        <v>8107.3090999999986</v>
      </c>
      <c r="D34" s="2">
        <v>2.5299999999999998</v>
      </c>
      <c r="E34" s="7">
        <f>C34*12</f>
        <v>97287.709199999983</v>
      </c>
    </row>
    <row r="35" spans="1:5" ht="15.6" x14ac:dyDescent="0.3">
      <c r="A35" s="57" t="s">
        <v>46</v>
      </c>
      <c r="B35" s="58" t="s">
        <v>45</v>
      </c>
      <c r="C35" s="54">
        <f>D35*C7</f>
        <v>288.40229999999997</v>
      </c>
      <c r="D35" s="55">
        <v>0.09</v>
      </c>
      <c r="E35" s="7">
        <f t="shared" ref="E35:E39" si="1">C35*12</f>
        <v>3460.8275999999996</v>
      </c>
    </row>
    <row r="36" spans="1:5" ht="15.6" x14ac:dyDescent="0.3">
      <c r="A36" s="57" t="s">
        <v>47</v>
      </c>
      <c r="B36" s="55" t="s">
        <v>48</v>
      </c>
      <c r="C36" s="54">
        <f>D36*C7</f>
        <v>64.089399999999998</v>
      </c>
      <c r="D36" s="55">
        <v>0.02</v>
      </c>
      <c r="E36" s="7">
        <f t="shared" si="1"/>
        <v>769.07279999999992</v>
      </c>
    </row>
    <row r="37" spans="1:5" ht="15.6" x14ac:dyDescent="0.3">
      <c r="A37" s="57" t="s">
        <v>49</v>
      </c>
      <c r="B37" s="55" t="s">
        <v>50</v>
      </c>
      <c r="C37" s="54">
        <f>D37*C7</f>
        <v>96.134099999999989</v>
      </c>
      <c r="D37" s="55">
        <v>0.03</v>
      </c>
      <c r="E37" s="7">
        <f t="shared" si="1"/>
        <v>1153.6091999999999</v>
      </c>
    </row>
    <row r="38" spans="1:5" ht="15.6" x14ac:dyDescent="0.3">
      <c r="A38" s="57" t="s">
        <v>51</v>
      </c>
      <c r="B38" s="55" t="s">
        <v>52</v>
      </c>
      <c r="C38" s="59">
        <f>E38/12</f>
        <v>527.77333333333331</v>
      </c>
      <c r="D38" s="59">
        <f>C38/C7</f>
        <v>0.16469910260771153</v>
      </c>
      <c r="E38" s="37">
        <f>C8*4*2</f>
        <v>6333.28</v>
      </c>
    </row>
    <row r="39" spans="1:5" ht="15.6" x14ac:dyDescent="0.3">
      <c r="A39" s="57" t="s">
        <v>53</v>
      </c>
      <c r="B39" s="2" t="s">
        <v>30</v>
      </c>
      <c r="C39" s="7">
        <f>D39*C7</f>
        <v>320.447</v>
      </c>
      <c r="D39" s="2">
        <v>0.1</v>
      </c>
      <c r="E39" s="7">
        <f t="shared" si="1"/>
        <v>3845.364</v>
      </c>
    </row>
    <row r="40" spans="1:5" ht="17.399999999999999" x14ac:dyDescent="0.3">
      <c r="A40" s="26" t="s">
        <v>68</v>
      </c>
      <c r="B40" s="16" t="s">
        <v>59</v>
      </c>
      <c r="C40" s="22">
        <f>D40*C7</f>
        <v>-1279.046763119997</v>
      </c>
      <c r="D40" s="22">
        <f>C9-D16-D23</f>
        <v>-0.39914455841995622</v>
      </c>
      <c r="E40" s="22">
        <f>C40*12</f>
        <v>-15348.561157439963</v>
      </c>
    </row>
    <row r="41" spans="1:5" ht="15.6" x14ac:dyDescent="0.3">
      <c r="A41" s="24" t="s">
        <v>77</v>
      </c>
      <c r="B41" s="2"/>
      <c r="C41" s="7">
        <f>E41/12</f>
        <v>0</v>
      </c>
      <c r="D41" s="7">
        <f>C41/C7</f>
        <v>0</v>
      </c>
      <c r="E41" s="36">
        <v>0</v>
      </c>
    </row>
    <row r="42" spans="1:5" ht="15.6" x14ac:dyDescent="0.3">
      <c r="A42" s="24"/>
      <c r="B42" s="40" t="s">
        <v>70</v>
      </c>
      <c r="C42" s="41">
        <f>SUM(C41:C41)</f>
        <v>0</v>
      </c>
      <c r="D42" s="41">
        <f>SUM(D41:D41)</f>
        <v>0</v>
      </c>
      <c r="E42" s="40">
        <f>SUM(E41:E41)</f>
        <v>0</v>
      </c>
    </row>
    <row r="43" spans="1:5" ht="15.6" x14ac:dyDescent="0.3">
      <c r="A43" s="31"/>
      <c r="B43" s="32" t="s">
        <v>60</v>
      </c>
      <c r="C43" s="30">
        <f>D43*C7</f>
        <v>29929.749799999998</v>
      </c>
      <c r="D43" s="30">
        <f>D40+D23+D16</f>
        <v>9.34</v>
      </c>
      <c r="E43" s="30">
        <f>C43*12</f>
        <v>359156.9976</v>
      </c>
    </row>
    <row r="44" spans="1:5" ht="15.6" x14ac:dyDescent="0.3">
      <c r="A44" s="31" t="s">
        <v>69</v>
      </c>
      <c r="B44" s="16" t="s">
        <v>65</v>
      </c>
      <c r="C44" s="16">
        <f>D44*C7</f>
        <v>850</v>
      </c>
      <c r="D44" s="22">
        <f>C10/C7/12</f>
        <v>0.26525447265850516</v>
      </c>
      <c r="E44" s="16">
        <f>C44*12</f>
        <v>10200</v>
      </c>
    </row>
    <row r="45" spans="1:5" ht="15.6" x14ac:dyDescent="0.3">
      <c r="A45" s="24" t="s">
        <v>74</v>
      </c>
      <c r="B45" s="2" t="s">
        <v>72</v>
      </c>
      <c r="C45" s="39">
        <f>E45/12</f>
        <v>850</v>
      </c>
      <c r="D45" s="7">
        <f>C45/C7</f>
        <v>0.26525447265850516</v>
      </c>
      <c r="E45" s="55">
        <v>10200</v>
      </c>
    </row>
    <row r="46" spans="1:5" ht="15.6" x14ac:dyDescent="0.3">
      <c r="A46" s="4"/>
      <c r="B46" s="42" t="s">
        <v>70</v>
      </c>
      <c r="C46" s="42"/>
      <c r="D46" s="43">
        <f>SUM(D45:D45)</f>
        <v>0.26525447265850516</v>
      </c>
      <c r="E46" s="42"/>
    </row>
    <row r="47" spans="1:5" x14ac:dyDescent="0.3">
      <c r="A47" s="119" t="s">
        <v>166</v>
      </c>
      <c r="B47" s="120"/>
      <c r="C47" s="120"/>
      <c r="D47" s="120"/>
      <c r="E47" s="121"/>
    </row>
    <row r="48" spans="1:5" x14ac:dyDescent="0.3">
      <c r="A48" s="122"/>
      <c r="B48" s="123"/>
      <c r="C48" s="123"/>
      <c r="D48" s="123"/>
      <c r="E48" s="124"/>
    </row>
    <row r="49" spans="1:5" x14ac:dyDescent="0.3">
      <c r="A49" s="122"/>
      <c r="B49" s="123"/>
      <c r="C49" s="123"/>
      <c r="D49" s="123"/>
      <c r="E49" s="124"/>
    </row>
    <row r="50" spans="1:5" x14ac:dyDescent="0.3">
      <c r="A50" s="125"/>
      <c r="B50" s="126"/>
      <c r="C50" s="126"/>
      <c r="D50" s="126"/>
      <c r="E50" s="127"/>
    </row>
    <row r="51" spans="1:5" ht="42" customHeight="1" x14ac:dyDescent="0.3">
      <c r="A51" s="114" t="s">
        <v>167</v>
      </c>
      <c r="B51" s="115"/>
      <c r="C51" s="3"/>
      <c r="D51" s="3"/>
      <c r="E51" s="3"/>
    </row>
  </sheetData>
  <mergeCells count="18">
    <mergeCell ref="A10:B10"/>
    <mergeCell ref="C10:E10"/>
    <mergeCell ref="A47:E50"/>
    <mergeCell ref="A51:B51"/>
    <mergeCell ref="A7:B7"/>
    <mergeCell ref="C7:E7"/>
    <mergeCell ref="A13:B13"/>
    <mergeCell ref="C13:E13"/>
    <mergeCell ref="A14:E14"/>
    <mergeCell ref="A8:B8"/>
    <mergeCell ref="C8:E8"/>
    <mergeCell ref="A9:B9"/>
    <mergeCell ref="C9:E9"/>
    <mergeCell ref="A2:E4"/>
    <mergeCell ref="A5:B5"/>
    <mergeCell ref="C5:E5"/>
    <mergeCell ref="A6:B6"/>
    <mergeCell ref="C6:E6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8" x14ac:dyDescent="0.3"/>
  <sheetData/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8" x14ac:dyDescent="0.3"/>
  <sheetData/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6" workbookViewId="0"/>
  </sheetViews>
  <sheetFormatPr defaultRowHeight="13.8" x14ac:dyDescent="0.3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7"/>
  <sheetViews>
    <sheetView topLeftCell="A34" workbookViewId="0">
      <selection activeCell="G48" sqref="G48"/>
    </sheetView>
  </sheetViews>
  <sheetFormatPr defaultRowHeight="13.8" x14ac:dyDescent="0.3"/>
  <cols>
    <col min="1" max="1" width="8.5546875" style="29" customWidth="1"/>
    <col min="2" max="2" width="51.88671875" customWidth="1"/>
    <col min="3" max="3" width="11.6640625" customWidth="1"/>
    <col min="4" max="4" width="11.88671875" customWidth="1"/>
    <col min="5" max="5" width="12.33203125" customWidth="1"/>
  </cols>
  <sheetData>
    <row r="2" spans="1:5" x14ac:dyDescent="0.3">
      <c r="A2" s="102" t="s">
        <v>114</v>
      </c>
      <c r="B2" s="102"/>
      <c r="C2" s="102"/>
      <c r="D2" s="102"/>
      <c r="E2" s="102"/>
    </row>
    <row r="3" spans="1:5" x14ac:dyDescent="0.3">
      <c r="A3" s="102"/>
      <c r="B3" s="102"/>
      <c r="C3" s="102"/>
      <c r="D3" s="102"/>
      <c r="E3" s="102"/>
    </row>
    <row r="4" spans="1:5" x14ac:dyDescent="0.3">
      <c r="A4" s="103"/>
      <c r="B4" s="103"/>
      <c r="C4" s="103"/>
      <c r="D4" s="103"/>
      <c r="E4" s="103"/>
    </row>
    <row r="5" spans="1:5" ht="15.6" x14ac:dyDescent="0.3">
      <c r="A5" s="97" t="s">
        <v>0</v>
      </c>
      <c r="B5" s="98"/>
      <c r="C5" s="97" t="s">
        <v>1</v>
      </c>
      <c r="D5" s="104"/>
      <c r="E5" s="98"/>
    </row>
    <row r="6" spans="1:5" ht="15.6" x14ac:dyDescent="0.3">
      <c r="A6" s="97" t="s">
        <v>2</v>
      </c>
      <c r="B6" s="98"/>
      <c r="C6" s="99">
        <v>1</v>
      </c>
      <c r="D6" s="100"/>
      <c r="E6" s="101"/>
    </row>
    <row r="7" spans="1:5" ht="15.6" x14ac:dyDescent="0.3">
      <c r="A7" s="97" t="s">
        <v>3</v>
      </c>
      <c r="B7" s="98"/>
      <c r="C7" s="99">
        <v>3256.3</v>
      </c>
      <c r="D7" s="100"/>
      <c r="E7" s="101"/>
    </row>
    <row r="8" spans="1:5" ht="15.6" x14ac:dyDescent="0.3">
      <c r="A8" s="97" t="s">
        <v>4</v>
      </c>
      <c r="B8" s="98"/>
      <c r="C8" s="99">
        <v>396</v>
      </c>
      <c r="D8" s="100"/>
      <c r="E8" s="101"/>
    </row>
    <row r="9" spans="1:5" ht="15.6" x14ac:dyDescent="0.3">
      <c r="A9" s="97" t="s">
        <v>5</v>
      </c>
      <c r="B9" s="98"/>
      <c r="C9" s="99">
        <v>9</v>
      </c>
      <c r="D9" s="100"/>
      <c r="E9" s="101"/>
    </row>
    <row r="10" spans="1:5" ht="15.6" x14ac:dyDescent="0.3">
      <c r="A10" s="97" t="s">
        <v>6</v>
      </c>
      <c r="B10" s="98"/>
      <c r="C10" s="99">
        <v>17400</v>
      </c>
      <c r="D10" s="100"/>
      <c r="E10" s="101"/>
    </row>
    <row r="11" spans="1:5" ht="15.6" x14ac:dyDescent="0.3">
      <c r="A11" s="50"/>
      <c r="B11" s="51" t="s">
        <v>56</v>
      </c>
      <c r="C11" s="50"/>
      <c r="D11" s="52">
        <f>C7*C9</f>
        <v>29306.7</v>
      </c>
      <c r="E11" s="51"/>
    </row>
    <row r="12" spans="1:5" ht="15.6" x14ac:dyDescent="0.3">
      <c r="A12" s="50"/>
      <c r="B12" s="51" t="s">
        <v>64</v>
      </c>
      <c r="C12" s="50"/>
      <c r="D12" s="52">
        <f>D11+(C10/12)</f>
        <v>30756.7</v>
      </c>
      <c r="E12" s="51"/>
    </row>
    <row r="13" spans="1:5" ht="15.6" x14ac:dyDescent="0.3">
      <c r="A13" s="97" t="s">
        <v>7</v>
      </c>
      <c r="B13" s="98"/>
      <c r="C13" s="97">
        <f>(C7*C9*12)+C10</f>
        <v>369080.4</v>
      </c>
      <c r="D13" s="104"/>
      <c r="E13" s="98"/>
    </row>
    <row r="14" spans="1:5" ht="15.6" x14ac:dyDescent="0.3">
      <c r="A14" s="97" t="s">
        <v>8</v>
      </c>
      <c r="B14" s="104"/>
      <c r="C14" s="104"/>
      <c r="D14" s="104"/>
      <c r="E14" s="98"/>
    </row>
    <row r="15" spans="1:5" ht="46.8" x14ac:dyDescent="0.3">
      <c r="A15" s="4"/>
      <c r="B15" s="10" t="s">
        <v>12</v>
      </c>
      <c r="C15" s="10" t="s">
        <v>13</v>
      </c>
      <c r="D15" s="11" t="s">
        <v>14</v>
      </c>
      <c r="E15" s="10" t="s">
        <v>15</v>
      </c>
    </row>
    <row r="16" spans="1:5" ht="18" x14ac:dyDescent="0.35">
      <c r="A16" s="23">
        <v>1</v>
      </c>
      <c r="B16" s="14" t="s">
        <v>9</v>
      </c>
      <c r="C16" s="21">
        <f>C17+C18</f>
        <v>8905.5639966666677</v>
      </c>
      <c r="D16" s="21">
        <f>D17+D18</f>
        <v>2.8293249997440859</v>
      </c>
      <c r="E16" s="21">
        <f>E17+E18</f>
        <v>106866.76796</v>
      </c>
    </row>
    <row r="17" spans="1:5" ht="15.6" x14ac:dyDescent="0.3">
      <c r="A17" s="24" t="s">
        <v>10</v>
      </c>
      <c r="B17" s="8" t="s">
        <v>11</v>
      </c>
      <c r="C17" s="54">
        <f>(D11*12.59%)+(C10*12.59%/12)</f>
        <v>3872.2685300000003</v>
      </c>
      <c r="D17" s="7">
        <f>C17/C7</f>
        <v>1.1891620950158155</v>
      </c>
      <c r="E17" s="7">
        <f>C17*12</f>
        <v>46467.22236</v>
      </c>
    </row>
    <row r="18" spans="1:5" ht="15.6" x14ac:dyDescent="0.3">
      <c r="A18" s="4" t="s">
        <v>16</v>
      </c>
      <c r="B18" s="8" t="s">
        <v>17</v>
      </c>
      <c r="C18" s="20">
        <f>SUM(C19:C21)</f>
        <v>5033.2954666666665</v>
      </c>
      <c r="D18" s="20">
        <f>SUM(D19:D22)</f>
        <v>1.6401629047282704</v>
      </c>
      <c r="E18" s="20">
        <f t="shared" ref="E18" si="0">SUM(E19:E21)</f>
        <v>60399.545600000005</v>
      </c>
    </row>
    <row r="19" spans="1:5" ht="15.6" x14ac:dyDescent="0.3">
      <c r="A19" s="24" t="s">
        <v>18</v>
      </c>
      <c r="B19" s="8" t="s">
        <v>19</v>
      </c>
      <c r="C19" s="7">
        <f>E19/12</f>
        <v>3157.6666666666665</v>
      </c>
      <c r="D19" s="7">
        <f>C19/C7</f>
        <v>0.9697099980550522</v>
      </c>
      <c r="E19" s="54">
        <v>37892</v>
      </c>
    </row>
    <row r="20" spans="1:5" ht="42" x14ac:dyDescent="0.3">
      <c r="A20" s="24" t="s">
        <v>20</v>
      </c>
      <c r="B20" s="13" t="s">
        <v>21</v>
      </c>
      <c r="C20" s="7">
        <f>D20*C7</f>
        <v>879.20100000000014</v>
      </c>
      <c r="D20" s="2">
        <v>0.27</v>
      </c>
      <c r="E20" s="7">
        <f>C20*12</f>
        <v>10550.412000000002</v>
      </c>
    </row>
    <row r="21" spans="1:5" ht="15.6" x14ac:dyDescent="0.3">
      <c r="A21" s="24" t="s">
        <v>22</v>
      </c>
      <c r="B21" s="8" t="s">
        <v>23</v>
      </c>
      <c r="C21" s="7">
        <f>D11*3.4%</f>
        <v>996.42780000000005</v>
      </c>
      <c r="D21" s="7">
        <f>C21/C7</f>
        <v>0.30599999999999999</v>
      </c>
      <c r="E21" s="7">
        <f>C21*12</f>
        <v>11957.133600000001</v>
      </c>
    </row>
    <row r="22" spans="1:5" ht="15.6" x14ac:dyDescent="0.3">
      <c r="A22" s="24" t="s">
        <v>66</v>
      </c>
      <c r="B22" s="8" t="s">
        <v>67</v>
      </c>
      <c r="C22" s="7">
        <f>E22/12</f>
        <v>307.56700000000001</v>
      </c>
      <c r="D22" s="7">
        <f>C22/C7</f>
        <v>9.4452906673218068E-2</v>
      </c>
      <c r="E22" s="7">
        <f>C13*1%</f>
        <v>3690.8040000000001</v>
      </c>
    </row>
    <row r="23" spans="1:5" ht="18" x14ac:dyDescent="0.35">
      <c r="A23" s="25" t="s">
        <v>24</v>
      </c>
      <c r="B23" s="14" t="s">
        <v>25</v>
      </c>
      <c r="C23" s="21">
        <f>C24+C28+C34</f>
        <v>19486.198666666667</v>
      </c>
      <c r="D23" s="21">
        <f>D24+D28+D34</f>
        <v>5.9841533847208996</v>
      </c>
      <c r="E23" s="21">
        <f>E24+E28+E34</f>
        <v>233834.38400000002</v>
      </c>
    </row>
    <row r="24" spans="1:5" ht="17.399999999999999" x14ac:dyDescent="0.3">
      <c r="A24" s="65" t="s">
        <v>26</v>
      </c>
      <c r="B24" s="15" t="s">
        <v>27</v>
      </c>
      <c r="C24" s="22">
        <f>SUM(C25:C27)</f>
        <v>756.24566666666669</v>
      </c>
      <c r="D24" s="22">
        <f>SUM(D25:D27)</f>
        <v>0.23224078453049984</v>
      </c>
      <c r="E24" s="22">
        <f>SUM(E25:E27)</f>
        <v>9074.9480000000003</v>
      </c>
    </row>
    <row r="25" spans="1:5" ht="15.6" x14ac:dyDescent="0.3">
      <c r="A25" s="57" t="s">
        <v>28</v>
      </c>
      <c r="B25" s="13" t="s">
        <v>61</v>
      </c>
      <c r="C25" s="7">
        <f>D25*C7</f>
        <v>586.13400000000001</v>
      </c>
      <c r="D25" s="2">
        <v>0.18</v>
      </c>
      <c r="E25" s="7">
        <f>C25*12</f>
        <v>7033.6080000000002</v>
      </c>
    </row>
    <row r="26" spans="1:5" ht="15.6" x14ac:dyDescent="0.3">
      <c r="A26" s="57" t="s">
        <v>29</v>
      </c>
      <c r="B26" s="2" t="s">
        <v>30</v>
      </c>
      <c r="C26" s="7">
        <f>D26*C7</f>
        <v>162.81500000000003</v>
      </c>
      <c r="D26" s="2">
        <v>0.05</v>
      </c>
      <c r="E26" s="7">
        <f>C26*12</f>
        <v>1953.7800000000002</v>
      </c>
    </row>
    <row r="27" spans="1:5" ht="15.6" x14ac:dyDescent="0.3">
      <c r="A27" s="57" t="s">
        <v>31</v>
      </c>
      <c r="B27" s="55" t="s">
        <v>57</v>
      </c>
      <c r="C27" s="54">
        <f>E27/12</f>
        <v>7.2966666666666669</v>
      </c>
      <c r="D27" s="56">
        <f>C27/C7</f>
        <v>2.2407845304998515E-3</v>
      </c>
      <c r="E27" s="55">
        <f>87.56*1</f>
        <v>87.56</v>
      </c>
    </row>
    <row r="28" spans="1:5" ht="17.399999999999999" x14ac:dyDescent="0.3">
      <c r="A28" s="65" t="s">
        <v>32</v>
      </c>
      <c r="B28" s="17" t="s">
        <v>33</v>
      </c>
      <c r="C28" s="22">
        <f>SUM(C29:C33)</f>
        <v>9446.0020000000004</v>
      </c>
      <c r="D28" s="22">
        <f>SUM(D29:D33)</f>
        <v>2.9008389890366364</v>
      </c>
      <c r="E28" s="22">
        <f>SUM(E29:E33)</f>
        <v>113352.024</v>
      </c>
    </row>
    <row r="29" spans="1:5" ht="15.6" x14ac:dyDescent="0.3">
      <c r="A29" s="57" t="s">
        <v>34</v>
      </c>
      <c r="B29" s="13" t="s">
        <v>62</v>
      </c>
      <c r="C29" s="7">
        <f>D29*C7</f>
        <v>5698.5250000000005</v>
      </c>
      <c r="D29" s="2">
        <v>1.75</v>
      </c>
      <c r="E29" s="7">
        <f>C29*12</f>
        <v>68382.3</v>
      </c>
    </row>
    <row r="30" spans="1:5" ht="15.6" x14ac:dyDescent="0.3">
      <c r="A30" s="57" t="s">
        <v>35</v>
      </c>
      <c r="B30" s="55" t="s">
        <v>36</v>
      </c>
      <c r="C30" s="55">
        <v>1175</v>
      </c>
      <c r="D30" s="7">
        <f>C30/C7</f>
        <v>0.36083898903663664</v>
      </c>
      <c r="E30" s="2">
        <f>C30*12</f>
        <v>14100</v>
      </c>
    </row>
    <row r="31" spans="1:5" ht="15.6" x14ac:dyDescent="0.3">
      <c r="A31" s="57" t="s">
        <v>37</v>
      </c>
      <c r="B31" s="2" t="s">
        <v>30</v>
      </c>
      <c r="C31" s="7">
        <f>D31*C7</f>
        <v>293.06700000000001</v>
      </c>
      <c r="D31" s="2">
        <v>0.09</v>
      </c>
      <c r="E31" s="7">
        <f>C31*12</f>
        <v>3516.8040000000001</v>
      </c>
    </row>
    <row r="32" spans="1:5" ht="15.6" x14ac:dyDescent="0.3">
      <c r="A32" s="57" t="s">
        <v>38</v>
      </c>
      <c r="B32" s="2" t="s">
        <v>40</v>
      </c>
      <c r="C32" s="7">
        <f>D32*C7</f>
        <v>97.689000000000007</v>
      </c>
      <c r="D32" s="2">
        <v>0.03</v>
      </c>
      <c r="E32" s="7">
        <f>C32*12</f>
        <v>1172.268</v>
      </c>
    </row>
    <row r="33" spans="1:5" ht="15.6" x14ac:dyDescent="0.3">
      <c r="A33" s="57" t="s">
        <v>39</v>
      </c>
      <c r="B33" s="2" t="s">
        <v>41</v>
      </c>
      <c r="C33" s="7">
        <f>D33*C7</f>
        <v>2181.7210000000005</v>
      </c>
      <c r="D33" s="2">
        <v>0.67</v>
      </c>
      <c r="E33" s="7">
        <f>C33*12</f>
        <v>26180.652000000006</v>
      </c>
    </row>
    <row r="34" spans="1:5" ht="31.2" x14ac:dyDescent="0.3">
      <c r="A34" s="65" t="s">
        <v>42</v>
      </c>
      <c r="B34" s="18" t="s">
        <v>43</v>
      </c>
      <c r="C34" s="22">
        <f>SUM(C35:C40)</f>
        <v>9283.9510000000009</v>
      </c>
      <c r="D34" s="22">
        <f>SUM(D35:D40)</f>
        <v>2.8510736111537631</v>
      </c>
      <c r="E34" s="22">
        <f>SUM(E35:E40)</f>
        <v>111407.41200000001</v>
      </c>
    </row>
    <row r="35" spans="1:5" ht="27" x14ac:dyDescent="0.3">
      <c r="A35" s="57" t="s">
        <v>44</v>
      </c>
      <c r="B35" s="12" t="s">
        <v>73</v>
      </c>
      <c r="C35" s="7">
        <f>D35*C7</f>
        <v>8238.4390000000003</v>
      </c>
      <c r="D35" s="2">
        <v>2.5299999999999998</v>
      </c>
      <c r="E35" s="7">
        <f>C35*12</f>
        <v>98861.268000000011</v>
      </c>
    </row>
    <row r="36" spans="1:5" ht="15.6" x14ac:dyDescent="0.3">
      <c r="A36" s="57" t="s">
        <v>46</v>
      </c>
      <c r="B36" s="58" t="s">
        <v>45</v>
      </c>
      <c r="C36" s="54">
        <f>D36*C7</f>
        <v>293.06700000000001</v>
      </c>
      <c r="D36" s="55">
        <v>0.09</v>
      </c>
      <c r="E36" s="54">
        <f t="shared" ref="E36:E40" si="1">C36*12</f>
        <v>3516.8040000000001</v>
      </c>
    </row>
    <row r="37" spans="1:5" ht="15.6" x14ac:dyDescent="0.3">
      <c r="A37" s="57" t="s">
        <v>47</v>
      </c>
      <c r="B37" s="55" t="s">
        <v>48</v>
      </c>
      <c r="C37" s="54">
        <f>D37*C7</f>
        <v>65.126000000000005</v>
      </c>
      <c r="D37" s="55">
        <v>0.02</v>
      </c>
      <c r="E37" s="54">
        <f t="shared" si="1"/>
        <v>781.51200000000006</v>
      </c>
    </row>
    <row r="38" spans="1:5" ht="15.6" x14ac:dyDescent="0.3">
      <c r="A38" s="57" t="s">
        <v>49</v>
      </c>
      <c r="B38" s="55" t="s">
        <v>50</v>
      </c>
      <c r="C38" s="54">
        <f>D38*C7</f>
        <v>97.689000000000007</v>
      </c>
      <c r="D38" s="55">
        <v>0.03</v>
      </c>
      <c r="E38" s="54">
        <f t="shared" si="1"/>
        <v>1172.268</v>
      </c>
    </row>
    <row r="39" spans="1:5" ht="15.6" x14ac:dyDescent="0.3">
      <c r="A39" s="57" t="s">
        <v>51</v>
      </c>
      <c r="B39" s="55" t="s">
        <v>52</v>
      </c>
      <c r="C39" s="59">
        <f>E39/12</f>
        <v>264</v>
      </c>
      <c r="D39" s="59">
        <f>C39/C7</f>
        <v>8.1073611153763464E-2</v>
      </c>
      <c r="E39" s="59">
        <f>C8*4*2</f>
        <v>3168</v>
      </c>
    </row>
    <row r="40" spans="1:5" ht="15.6" x14ac:dyDescent="0.3">
      <c r="A40" s="57" t="s">
        <v>53</v>
      </c>
      <c r="B40" s="2" t="s">
        <v>30</v>
      </c>
      <c r="C40" s="7">
        <f>D40*C7</f>
        <v>325.63000000000005</v>
      </c>
      <c r="D40" s="2">
        <v>0.1</v>
      </c>
      <c r="E40" s="7">
        <f t="shared" si="1"/>
        <v>3907.5600000000004</v>
      </c>
    </row>
    <row r="41" spans="1:5" ht="17.399999999999999" x14ac:dyDescent="0.3">
      <c r="A41" s="26" t="s">
        <v>68</v>
      </c>
      <c r="B41" s="16" t="s">
        <v>59</v>
      </c>
      <c r="C41" s="22">
        <f>D41*C7</f>
        <v>607.37033666666616</v>
      </c>
      <c r="D41" s="22">
        <f>C9-D16-D23</f>
        <v>0.18652161553501401</v>
      </c>
      <c r="E41" s="22">
        <f>C41*12</f>
        <v>7288.4440399999939</v>
      </c>
    </row>
    <row r="42" spans="1:5" ht="15.6" x14ac:dyDescent="0.3">
      <c r="A42" s="38" t="s">
        <v>77</v>
      </c>
      <c r="B42" s="55" t="s">
        <v>78</v>
      </c>
      <c r="C42" s="54">
        <f t="shared" ref="C42:C47" si="2">E42/12</f>
        <v>607.37</v>
      </c>
      <c r="D42" s="54">
        <f>C42/C7</f>
        <v>0.18652151214568682</v>
      </c>
      <c r="E42" s="55">
        <v>7288.44</v>
      </c>
    </row>
    <row r="43" spans="1:5" ht="15.6" x14ac:dyDescent="0.3">
      <c r="A43" s="24" t="s">
        <v>79</v>
      </c>
      <c r="B43" s="2"/>
      <c r="C43" s="7">
        <f t="shared" si="2"/>
        <v>0</v>
      </c>
      <c r="D43" s="7">
        <f>C43/C7</f>
        <v>0</v>
      </c>
      <c r="E43" s="55"/>
    </row>
    <row r="44" spans="1:5" ht="15.6" x14ac:dyDescent="0.3">
      <c r="A44" s="24" t="s">
        <v>80</v>
      </c>
      <c r="B44" s="2"/>
      <c r="C44" s="7">
        <f t="shared" si="2"/>
        <v>0</v>
      </c>
      <c r="D44" s="7">
        <f>C44/C7</f>
        <v>0</v>
      </c>
      <c r="E44" s="55"/>
    </row>
    <row r="45" spans="1:5" ht="15.6" x14ac:dyDescent="0.3">
      <c r="A45" s="24" t="s">
        <v>81</v>
      </c>
      <c r="B45" s="2"/>
      <c r="C45" s="7">
        <f t="shared" si="2"/>
        <v>0</v>
      </c>
      <c r="D45" s="7">
        <f>C45/C7</f>
        <v>0</v>
      </c>
      <c r="E45" s="55"/>
    </row>
    <row r="46" spans="1:5" ht="15.6" x14ac:dyDescent="0.3">
      <c r="A46" s="24" t="s">
        <v>82</v>
      </c>
      <c r="B46" s="2"/>
      <c r="C46" s="7">
        <f t="shared" si="2"/>
        <v>0</v>
      </c>
      <c r="D46" s="7">
        <f>C46/C7</f>
        <v>0</v>
      </c>
      <c r="E46" s="55"/>
    </row>
    <row r="47" spans="1:5" ht="15.6" x14ac:dyDescent="0.3">
      <c r="A47" s="24" t="s">
        <v>83</v>
      </c>
      <c r="B47" s="2"/>
      <c r="C47" s="7">
        <f t="shared" si="2"/>
        <v>0</v>
      </c>
      <c r="D47" s="7">
        <f>C47/C7</f>
        <v>0</v>
      </c>
      <c r="E47" s="55"/>
    </row>
    <row r="48" spans="1:5" ht="15.6" x14ac:dyDescent="0.3">
      <c r="A48" s="24"/>
      <c r="B48" s="2"/>
      <c r="C48" s="7"/>
      <c r="D48" s="7"/>
      <c r="E48" s="55"/>
    </row>
    <row r="49" spans="1:5" ht="15.6" x14ac:dyDescent="0.3">
      <c r="A49" s="24"/>
      <c r="B49" s="2"/>
      <c r="C49" s="7"/>
      <c r="D49" s="7"/>
      <c r="E49" s="55"/>
    </row>
    <row r="50" spans="1:5" ht="15.6" x14ac:dyDescent="0.3">
      <c r="A50" s="24"/>
      <c r="B50" s="2"/>
      <c r="C50" s="7"/>
      <c r="D50" s="7"/>
      <c r="E50" s="55"/>
    </row>
    <row r="51" spans="1:5" ht="15.6" x14ac:dyDescent="0.3">
      <c r="A51" s="24"/>
      <c r="B51" s="2"/>
      <c r="C51" s="7"/>
      <c r="D51" s="7"/>
      <c r="E51" s="55"/>
    </row>
    <row r="52" spans="1:5" ht="15.6" x14ac:dyDescent="0.3">
      <c r="A52" s="24"/>
      <c r="B52" s="2"/>
      <c r="C52" s="7"/>
      <c r="D52" s="7"/>
      <c r="E52" s="55"/>
    </row>
    <row r="53" spans="1:5" ht="15.6" x14ac:dyDescent="0.3">
      <c r="A53" s="24"/>
      <c r="B53" s="2"/>
      <c r="C53" s="7"/>
      <c r="D53" s="7"/>
      <c r="E53" s="55"/>
    </row>
    <row r="54" spans="1:5" ht="15.6" x14ac:dyDescent="0.3">
      <c r="A54" s="24"/>
      <c r="B54" s="2"/>
      <c r="C54" s="7"/>
      <c r="D54" s="7"/>
      <c r="E54" s="55"/>
    </row>
    <row r="55" spans="1:5" ht="15.6" x14ac:dyDescent="0.3">
      <c r="A55" s="24"/>
      <c r="B55" s="2"/>
      <c r="C55" s="7"/>
      <c r="D55" s="7"/>
      <c r="E55" s="55"/>
    </row>
    <row r="56" spans="1:5" ht="15.6" x14ac:dyDescent="0.3">
      <c r="A56" s="24"/>
      <c r="B56" s="40" t="s">
        <v>70</v>
      </c>
      <c r="C56" s="41">
        <f>SUM(C42:C55)</f>
        <v>607.37</v>
      </c>
      <c r="D56" s="41">
        <f>SUM(D42:D55)</f>
        <v>0.18652151214568682</v>
      </c>
      <c r="E56" s="40">
        <f>SUM(E42:E55)</f>
        <v>7288.44</v>
      </c>
    </row>
    <row r="57" spans="1:5" ht="15.6" x14ac:dyDescent="0.3">
      <c r="A57" s="31"/>
      <c r="B57" s="32" t="s">
        <v>60</v>
      </c>
      <c r="C57" s="30">
        <f>D57*C7</f>
        <v>29306.7</v>
      </c>
      <c r="D57" s="30">
        <f>D41+D23+D16</f>
        <v>9</v>
      </c>
      <c r="E57" s="60">
        <f>C57*12</f>
        <v>351680.4</v>
      </c>
    </row>
    <row r="58" spans="1:5" ht="15.6" x14ac:dyDescent="0.3">
      <c r="A58" s="31" t="s">
        <v>69</v>
      </c>
      <c r="B58" s="16" t="s">
        <v>65</v>
      </c>
      <c r="C58" s="16">
        <f>D58*C7</f>
        <v>1450</v>
      </c>
      <c r="D58" s="22">
        <f>C10/C7/12</f>
        <v>0.44529066732180694</v>
      </c>
      <c r="E58" s="55">
        <f>C58*12</f>
        <v>17400</v>
      </c>
    </row>
    <row r="59" spans="1:5" ht="15.6" x14ac:dyDescent="0.3">
      <c r="A59" s="24" t="s">
        <v>74</v>
      </c>
      <c r="B59" s="55" t="s">
        <v>72</v>
      </c>
      <c r="C59" s="76">
        <f>E59/12</f>
        <v>1450</v>
      </c>
      <c r="D59" s="54">
        <f>C59/C7</f>
        <v>0.44529066732180694</v>
      </c>
      <c r="E59" s="55">
        <v>17400</v>
      </c>
    </row>
    <row r="60" spans="1:5" ht="15.6" x14ac:dyDescent="0.3">
      <c r="A60" s="24" t="s">
        <v>75</v>
      </c>
      <c r="B60" s="55"/>
      <c r="C60" s="76"/>
      <c r="D60" s="54"/>
      <c r="E60" s="55"/>
    </row>
    <row r="61" spans="1:5" ht="15.6" x14ac:dyDescent="0.3">
      <c r="A61" s="24" t="s">
        <v>96</v>
      </c>
      <c r="B61" s="55"/>
      <c r="C61" s="76"/>
      <c r="D61" s="54"/>
      <c r="E61" s="55"/>
    </row>
    <row r="62" spans="1:5" ht="15.6" x14ac:dyDescent="0.3">
      <c r="A62" s="4"/>
      <c r="B62" s="2"/>
      <c r="C62" s="39"/>
      <c r="D62" s="7"/>
      <c r="E62" s="55"/>
    </row>
    <row r="63" spans="1:5" ht="15.6" x14ac:dyDescent="0.3">
      <c r="A63" s="4"/>
      <c r="B63" s="42" t="s">
        <v>70</v>
      </c>
      <c r="C63" s="42"/>
      <c r="D63" s="43">
        <f>SUM(D59:D62)</f>
        <v>0.44529066732180694</v>
      </c>
      <c r="E63" s="42"/>
    </row>
    <row r="64" spans="1:5" ht="12.75" customHeight="1" x14ac:dyDescent="0.3">
      <c r="A64" s="28"/>
      <c r="B64" s="3"/>
      <c r="C64" s="3"/>
      <c r="D64" s="3"/>
      <c r="E64" s="3"/>
    </row>
    <row r="65" spans="1:5" ht="15.6" x14ac:dyDescent="0.3">
      <c r="A65" s="28"/>
      <c r="B65" s="3"/>
      <c r="C65" s="3"/>
      <c r="D65" s="3"/>
      <c r="E65" s="3"/>
    </row>
    <row r="66" spans="1:5" ht="15.6" x14ac:dyDescent="0.3">
      <c r="A66" s="28"/>
      <c r="B66" s="3"/>
      <c r="C66" s="3"/>
      <c r="D66" s="3"/>
      <c r="E66" s="3"/>
    </row>
    <row r="67" spans="1:5" ht="15.6" x14ac:dyDescent="0.3">
      <c r="A67" s="28"/>
      <c r="B67" s="3"/>
      <c r="C67" s="3"/>
      <c r="D67" s="3"/>
      <c r="E67" s="3"/>
    </row>
  </sheetData>
  <mergeCells count="16">
    <mergeCell ref="A13:B13"/>
    <mergeCell ref="C13:E13"/>
    <mergeCell ref="A14:E14"/>
    <mergeCell ref="A8:B8"/>
    <mergeCell ref="C8:E8"/>
    <mergeCell ref="A9:B9"/>
    <mergeCell ref="C9:E9"/>
    <mergeCell ref="A10:B10"/>
    <mergeCell ref="C10:E10"/>
    <mergeCell ref="A7:B7"/>
    <mergeCell ref="C7:E7"/>
    <mergeCell ref="A2:E4"/>
    <mergeCell ref="A5:B5"/>
    <mergeCell ref="C5:E5"/>
    <mergeCell ref="A6:B6"/>
    <mergeCell ref="C6:E6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1"/>
  <sheetViews>
    <sheetView workbookViewId="0">
      <selection activeCell="G53" sqref="G53"/>
    </sheetView>
  </sheetViews>
  <sheetFormatPr defaultRowHeight="13.8" x14ac:dyDescent="0.3"/>
  <cols>
    <col min="1" max="1" width="8.5546875" style="29" customWidth="1"/>
    <col min="2" max="2" width="51.88671875" customWidth="1"/>
    <col min="3" max="3" width="11.6640625" customWidth="1"/>
    <col min="4" max="4" width="11.88671875" customWidth="1"/>
    <col min="5" max="5" width="12.33203125" customWidth="1"/>
  </cols>
  <sheetData>
    <row r="2" spans="1:5" x14ac:dyDescent="0.3">
      <c r="A2" s="102" t="s">
        <v>113</v>
      </c>
      <c r="B2" s="102"/>
      <c r="C2" s="102"/>
      <c r="D2" s="102"/>
      <c r="E2" s="102"/>
    </row>
    <row r="3" spans="1:5" x14ac:dyDescent="0.3">
      <c r="A3" s="102"/>
      <c r="B3" s="102"/>
      <c r="C3" s="102"/>
      <c r="D3" s="102"/>
      <c r="E3" s="102"/>
    </row>
    <row r="4" spans="1:5" x14ac:dyDescent="0.3">
      <c r="A4" s="103"/>
      <c r="B4" s="103"/>
      <c r="C4" s="103"/>
      <c r="D4" s="103"/>
      <c r="E4" s="103"/>
    </row>
    <row r="5" spans="1:5" ht="15.6" x14ac:dyDescent="0.3">
      <c r="A5" s="97" t="s">
        <v>0</v>
      </c>
      <c r="B5" s="98"/>
      <c r="C5" s="97" t="s">
        <v>1</v>
      </c>
      <c r="D5" s="104"/>
      <c r="E5" s="98"/>
    </row>
    <row r="6" spans="1:5" ht="15.6" x14ac:dyDescent="0.3">
      <c r="A6" s="97" t="s">
        <v>2</v>
      </c>
      <c r="B6" s="98"/>
      <c r="C6" s="99">
        <v>1</v>
      </c>
      <c r="D6" s="100"/>
      <c r="E6" s="101"/>
    </row>
    <row r="7" spans="1:5" ht="15.6" x14ac:dyDescent="0.3">
      <c r="A7" s="97" t="s">
        <v>3</v>
      </c>
      <c r="B7" s="98"/>
      <c r="C7" s="99">
        <v>3283.1</v>
      </c>
      <c r="D7" s="100"/>
      <c r="E7" s="101"/>
    </row>
    <row r="8" spans="1:5" ht="15.6" x14ac:dyDescent="0.3">
      <c r="A8" s="97" t="s">
        <v>4</v>
      </c>
      <c r="B8" s="98"/>
      <c r="C8" s="99">
        <v>420</v>
      </c>
      <c r="D8" s="100"/>
      <c r="E8" s="101"/>
    </row>
    <row r="9" spans="1:5" ht="15.6" x14ac:dyDescent="0.3">
      <c r="A9" s="97" t="s">
        <v>5</v>
      </c>
      <c r="B9" s="98"/>
      <c r="C9" s="99">
        <v>8.5</v>
      </c>
      <c r="D9" s="100"/>
      <c r="E9" s="101"/>
    </row>
    <row r="10" spans="1:5" ht="15.6" x14ac:dyDescent="0.3">
      <c r="A10" s="97" t="s">
        <v>6</v>
      </c>
      <c r="B10" s="98"/>
      <c r="C10" s="99">
        <v>80000</v>
      </c>
      <c r="D10" s="100"/>
      <c r="E10" s="101"/>
    </row>
    <row r="11" spans="1:5" ht="15.6" x14ac:dyDescent="0.3">
      <c r="A11" s="50"/>
      <c r="B11" s="51" t="s">
        <v>56</v>
      </c>
      <c r="C11" s="50"/>
      <c r="D11" s="52">
        <f>C7*C9</f>
        <v>27906.35</v>
      </c>
      <c r="E11" s="51"/>
    </row>
    <row r="12" spans="1:5" ht="15.6" x14ac:dyDescent="0.3">
      <c r="A12" s="50"/>
      <c r="B12" s="51" t="s">
        <v>64</v>
      </c>
      <c r="C12" s="50"/>
      <c r="D12" s="70">
        <f>D11+(C10/12)</f>
        <v>34573.016666666663</v>
      </c>
      <c r="E12" s="51"/>
    </row>
    <row r="13" spans="1:5" ht="15.6" x14ac:dyDescent="0.3">
      <c r="A13" s="97" t="s">
        <v>7</v>
      </c>
      <c r="B13" s="98"/>
      <c r="C13" s="97">
        <f>(C7*C9*12)+C10</f>
        <v>414876.19999999995</v>
      </c>
      <c r="D13" s="104"/>
      <c r="E13" s="98"/>
    </row>
    <row r="14" spans="1:5" ht="15.6" x14ac:dyDescent="0.3">
      <c r="A14" s="97" t="s">
        <v>8</v>
      </c>
      <c r="B14" s="104"/>
      <c r="C14" s="104"/>
      <c r="D14" s="104"/>
      <c r="E14" s="98"/>
    </row>
    <row r="15" spans="1:5" ht="46.8" x14ac:dyDescent="0.3">
      <c r="A15" s="4"/>
      <c r="B15" s="10" t="s">
        <v>12</v>
      </c>
      <c r="C15" s="10" t="s">
        <v>13</v>
      </c>
      <c r="D15" s="11" t="s">
        <v>14</v>
      </c>
      <c r="E15" s="10" t="s">
        <v>15</v>
      </c>
    </row>
    <row r="16" spans="1:5" ht="18" x14ac:dyDescent="0.35">
      <c r="A16" s="23">
        <v>1</v>
      </c>
      <c r="B16" s="14" t="s">
        <v>9</v>
      </c>
      <c r="C16" s="21">
        <f>C17+C18</f>
        <v>6538.4123650000001</v>
      </c>
      <c r="D16" s="21">
        <f>D17+D18</f>
        <v>2.0968421710172298</v>
      </c>
      <c r="E16" s="21">
        <f>E17+E18</f>
        <v>78460.948380000016</v>
      </c>
    </row>
    <row r="17" spans="1:5" ht="15.6" x14ac:dyDescent="0.3">
      <c r="A17" s="24" t="s">
        <v>10</v>
      </c>
      <c r="B17" s="8" t="s">
        <v>11</v>
      </c>
      <c r="C17" s="54">
        <f>(D11*12.59%)+(C10*12.59%/12)</f>
        <v>4352.7427983333337</v>
      </c>
      <c r="D17" s="7">
        <f>C17/C7</f>
        <v>1.3258026859776839</v>
      </c>
      <c r="E17" s="7">
        <f>C17*12</f>
        <v>52232.913580000008</v>
      </c>
    </row>
    <row r="18" spans="1:5" ht="15.6" x14ac:dyDescent="0.3">
      <c r="A18" s="4" t="s">
        <v>16</v>
      </c>
      <c r="B18" s="8" t="s">
        <v>17</v>
      </c>
      <c r="C18" s="20">
        <f>SUM(C19:C21)</f>
        <v>2185.6695666666665</v>
      </c>
      <c r="D18" s="20">
        <f>SUM(D19:D22)</f>
        <v>0.771039485039546</v>
      </c>
      <c r="E18" s="20">
        <f t="shared" ref="E18" si="0">SUM(E19:E21)</f>
        <v>26228.034800000001</v>
      </c>
    </row>
    <row r="19" spans="1:5" ht="15.6" x14ac:dyDescent="0.3">
      <c r="A19" s="24" t="s">
        <v>18</v>
      </c>
      <c r="B19" s="8" t="s">
        <v>19</v>
      </c>
      <c r="C19" s="7">
        <f>E19/12</f>
        <v>350.41666666666669</v>
      </c>
      <c r="D19" s="7">
        <f>C19/C7</f>
        <v>0.10673347344481335</v>
      </c>
      <c r="E19" s="54">
        <v>4205</v>
      </c>
    </row>
    <row r="20" spans="1:5" ht="42" x14ac:dyDescent="0.3">
      <c r="A20" s="24" t="s">
        <v>20</v>
      </c>
      <c r="B20" s="13" t="s">
        <v>21</v>
      </c>
      <c r="C20" s="7">
        <f>D20*C7</f>
        <v>886.43700000000001</v>
      </c>
      <c r="D20" s="2">
        <v>0.27</v>
      </c>
      <c r="E20" s="7">
        <f>C20*12</f>
        <v>10637.244000000001</v>
      </c>
    </row>
    <row r="21" spans="1:5" ht="15.6" x14ac:dyDescent="0.3">
      <c r="A21" s="24" t="s">
        <v>22</v>
      </c>
      <c r="B21" s="8" t="s">
        <v>23</v>
      </c>
      <c r="C21" s="7">
        <f>D11*3.4%</f>
        <v>948.81590000000006</v>
      </c>
      <c r="D21" s="7">
        <f>C21/C7</f>
        <v>0.28900000000000003</v>
      </c>
      <c r="E21" s="7">
        <f>C21*12</f>
        <v>11385.790800000001</v>
      </c>
    </row>
    <row r="22" spans="1:5" ht="15.6" x14ac:dyDescent="0.3">
      <c r="A22" s="24" t="s">
        <v>66</v>
      </c>
      <c r="B22" s="8" t="s">
        <v>67</v>
      </c>
      <c r="C22" s="7">
        <f>E22/12</f>
        <v>345.73016666666666</v>
      </c>
      <c r="D22" s="7">
        <f>C22/C7</f>
        <v>0.10530601159473262</v>
      </c>
      <c r="E22" s="7">
        <f>C13*1%</f>
        <v>4148.7619999999997</v>
      </c>
    </row>
    <row r="23" spans="1:5" ht="18" x14ac:dyDescent="0.35">
      <c r="A23" s="25" t="s">
        <v>24</v>
      </c>
      <c r="B23" s="14" t="s">
        <v>25</v>
      </c>
      <c r="C23" s="21">
        <f>C24+C28+C34</f>
        <v>19650.670666666665</v>
      </c>
      <c r="D23" s="21">
        <f>D24+D28+D34</f>
        <v>5.9854011960240818</v>
      </c>
      <c r="E23" s="21">
        <f>E24+E28+E34</f>
        <v>235808.04800000001</v>
      </c>
    </row>
    <row r="24" spans="1:5" ht="17.399999999999999" x14ac:dyDescent="0.3">
      <c r="A24" s="26" t="s">
        <v>26</v>
      </c>
      <c r="B24" s="15" t="s">
        <v>27</v>
      </c>
      <c r="C24" s="22">
        <f>SUM(C25:C27)</f>
        <v>762.40966666666657</v>
      </c>
      <c r="D24" s="22">
        <f>SUM(D25:D27)</f>
        <v>0.23222249296904346</v>
      </c>
      <c r="E24" s="22">
        <f>SUM(E25:E27)</f>
        <v>9148.9159999999993</v>
      </c>
    </row>
    <row r="25" spans="1:5" ht="15.6" x14ac:dyDescent="0.3">
      <c r="A25" s="24" t="s">
        <v>28</v>
      </c>
      <c r="B25" s="13" t="s">
        <v>61</v>
      </c>
      <c r="C25" s="7">
        <f>D25*C7</f>
        <v>590.95799999999997</v>
      </c>
      <c r="D25" s="2">
        <v>0.18</v>
      </c>
      <c r="E25" s="7">
        <f>C25*12</f>
        <v>7091.4959999999992</v>
      </c>
    </row>
    <row r="26" spans="1:5" ht="15.6" x14ac:dyDescent="0.3">
      <c r="A26" s="24" t="s">
        <v>29</v>
      </c>
      <c r="B26" s="2" t="s">
        <v>30</v>
      </c>
      <c r="C26" s="7">
        <f>D26*C7</f>
        <v>164.155</v>
      </c>
      <c r="D26" s="2">
        <v>0.05</v>
      </c>
      <c r="E26" s="7">
        <f>C26*12</f>
        <v>1969.8600000000001</v>
      </c>
    </row>
    <row r="27" spans="1:5" ht="15.6" x14ac:dyDescent="0.3">
      <c r="A27" s="57" t="s">
        <v>31</v>
      </c>
      <c r="B27" s="55" t="s">
        <v>57</v>
      </c>
      <c r="C27" s="54">
        <f>E27/12</f>
        <v>7.2966666666666669</v>
      </c>
      <c r="D27" s="56">
        <f>C27/C7</f>
        <v>2.2224929690434856E-3</v>
      </c>
      <c r="E27" s="55">
        <f>87.56*1</f>
        <v>87.56</v>
      </c>
    </row>
    <row r="28" spans="1:5" ht="17.399999999999999" x14ac:dyDescent="0.3">
      <c r="A28" s="26" t="s">
        <v>32</v>
      </c>
      <c r="B28" s="17" t="s">
        <v>33</v>
      </c>
      <c r="C28" s="22">
        <f>SUM(C29:C33)</f>
        <v>9514.0740000000005</v>
      </c>
      <c r="D28" s="22">
        <f>SUM(D29:D33)</f>
        <v>2.8978934543571619</v>
      </c>
      <c r="E28" s="22">
        <f>SUM(E29:E33)</f>
        <v>114168.88800000001</v>
      </c>
    </row>
    <row r="29" spans="1:5" ht="15.6" x14ac:dyDescent="0.3">
      <c r="A29" s="57" t="s">
        <v>34</v>
      </c>
      <c r="B29" s="13" t="s">
        <v>62</v>
      </c>
      <c r="C29" s="7">
        <f>D29*C7</f>
        <v>5745.4250000000002</v>
      </c>
      <c r="D29" s="2">
        <v>1.75</v>
      </c>
      <c r="E29" s="7">
        <f>C29*12</f>
        <v>68945.100000000006</v>
      </c>
    </row>
    <row r="30" spans="1:5" ht="15.6" x14ac:dyDescent="0.3">
      <c r="A30" s="57" t="s">
        <v>35</v>
      </c>
      <c r="B30" s="55" t="s">
        <v>36</v>
      </c>
      <c r="C30" s="55">
        <v>1175</v>
      </c>
      <c r="D30" s="54">
        <f>C30/C7</f>
        <v>0.35789345435716247</v>
      </c>
      <c r="E30" s="55">
        <f>C30*12</f>
        <v>14100</v>
      </c>
    </row>
    <row r="31" spans="1:5" ht="15.6" x14ac:dyDescent="0.3">
      <c r="A31" s="57" t="s">
        <v>37</v>
      </c>
      <c r="B31" s="2" t="s">
        <v>30</v>
      </c>
      <c r="C31" s="7">
        <f>D31*C7</f>
        <v>295.47899999999998</v>
      </c>
      <c r="D31" s="2">
        <v>0.09</v>
      </c>
      <c r="E31" s="7">
        <f>C31*12</f>
        <v>3545.7479999999996</v>
      </c>
    </row>
    <row r="32" spans="1:5" ht="15.6" x14ac:dyDescent="0.3">
      <c r="A32" s="57" t="s">
        <v>38</v>
      </c>
      <c r="B32" s="2" t="s">
        <v>40</v>
      </c>
      <c r="C32" s="7">
        <f>D32*C7</f>
        <v>98.492999999999995</v>
      </c>
      <c r="D32" s="2">
        <v>0.03</v>
      </c>
      <c r="E32" s="7">
        <f>C32*12</f>
        <v>1181.9159999999999</v>
      </c>
    </row>
    <row r="33" spans="1:5" ht="15.6" x14ac:dyDescent="0.3">
      <c r="A33" s="57" t="s">
        <v>39</v>
      </c>
      <c r="B33" s="2" t="s">
        <v>41</v>
      </c>
      <c r="C33" s="7">
        <f>D33*C7</f>
        <v>2199.6770000000001</v>
      </c>
      <c r="D33" s="2">
        <v>0.67</v>
      </c>
      <c r="E33" s="7">
        <f>C33*12</f>
        <v>26396.124000000003</v>
      </c>
    </row>
    <row r="34" spans="1:5" ht="31.2" x14ac:dyDescent="0.3">
      <c r="A34" s="26" t="s">
        <v>42</v>
      </c>
      <c r="B34" s="18" t="s">
        <v>43</v>
      </c>
      <c r="C34" s="22">
        <f>SUM(C35:C40)</f>
        <v>9374.1869999999981</v>
      </c>
      <c r="D34" s="22">
        <f>SUM(D35:D40)</f>
        <v>2.8552852486978764</v>
      </c>
      <c r="E34" s="22">
        <f>SUM(E35:E40)</f>
        <v>112490.24399999999</v>
      </c>
    </row>
    <row r="35" spans="1:5" ht="27" x14ac:dyDescent="0.3">
      <c r="A35" s="24" t="s">
        <v>44</v>
      </c>
      <c r="B35" s="12" t="s">
        <v>73</v>
      </c>
      <c r="C35" s="7">
        <f>D35*C7</f>
        <v>8306.2429999999986</v>
      </c>
      <c r="D35" s="2">
        <v>2.5299999999999998</v>
      </c>
      <c r="E35" s="7">
        <f>C35*12</f>
        <v>99674.915999999983</v>
      </c>
    </row>
    <row r="36" spans="1:5" ht="15.6" x14ac:dyDescent="0.3">
      <c r="A36" s="24" t="s">
        <v>46</v>
      </c>
      <c r="B36" s="58" t="s">
        <v>45</v>
      </c>
      <c r="C36" s="54">
        <f>D36*C7</f>
        <v>295.47899999999998</v>
      </c>
      <c r="D36" s="55">
        <v>0.09</v>
      </c>
      <c r="E36" s="7">
        <f t="shared" ref="E36:E40" si="1">C36*12</f>
        <v>3545.7479999999996</v>
      </c>
    </row>
    <row r="37" spans="1:5" ht="15.6" x14ac:dyDescent="0.3">
      <c r="A37" s="24" t="s">
        <v>47</v>
      </c>
      <c r="B37" s="55" t="s">
        <v>48</v>
      </c>
      <c r="C37" s="54">
        <f>D37*C7</f>
        <v>65.662000000000006</v>
      </c>
      <c r="D37" s="55">
        <v>0.02</v>
      </c>
      <c r="E37" s="7">
        <f t="shared" si="1"/>
        <v>787.94400000000007</v>
      </c>
    </row>
    <row r="38" spans="1:5" ht="15.6" x14ac:dyDescent="0.3">
      <c r="A38" s="24" t="s">
        <v>49</v>
      </c>
      <c r="B38" s="55" t="s">
        <v>50</v>
      </c>
      <c r="C38" s="54">
        <f>D38*C7</f>
        <v>98.492999999999995</v>
      </c>
      <c r="D38" s="55">
        <v>0.03</v>
      </c>
      <c r="E38" s="7">
        <f t="shared" si="1"/>
        <v>1181.9159999999999</v>
      </c>
    </row>
    <row r="39" spans="1:5" ht="15.6" x14ac:dyDescent="0.3">
      <c r="A39" s="57" t="s">
        <v>51</v>
      </c>
      <c r="B39" s="55" t="s">
        <v>52</v>
      </c>
      <c r="C39" s="59">
        <f>E39/12</f>
        <v>280</v>
      </c>
      <c r="D39" s="59">
        <f>C39/C7</f>
        <v>8.5285248697877014E-2</v>
      </c>
      <c r="E39" s="37">
        <f>C8*4*2</f>
        <v>3360</v>
      </c>
    </row>
    <row r="40" spans="1:5" ht="15.6" x14ac:dyDescent="0.3">
      <c r="A40" s="24" t="s">
        <v>53</v>
      </c>
      <c r="B40" s="2" t="s">
        <v>30</v>
      </c>
      <c r="C40" s="7">
        <f>D40*C7</f>
        <v>328.31</v>
      </c>
      <c r="D40" s="2">
        <v>0.1</v>
      </c>
      <c r="E40" s="7">
        <f t="shared" si="1"/>
        <v>3939.7200000000003</v>
      </c>
    </row>
    <row r="41" spans="1:5" ht="17.399999999999999" x14ac:dyDescent="0.3">
      <c r="A41" s="26" t="s">
        <v>68</v>
      </c>
      <c r="B41" s="16" t="s">
        <v>59</v>
      </c>
      <c r="C41" s="22">
        <f>D41*C7</f>
        <v>1371.5368016666712</v>
      </c>
      <c r="D41" s="22">
        <f>C9-D16-D23</f>
        <v>0.41775663295868881</v>
      </c>
      <c r="E41" s="22">
        <f>C41*12</f>
        <v>16458.441620000056</v>
      </c>
    </row>
    <row r="42" spans="1:5" ht="15.6" x14ac:dyDescent="0.3">
      <c r="A42" s="24" t="s">
        <v>77</v>
      </c>
      <c r="B42" s="2" t="s">
        <v>137</v>
      </c>
      <c r="C42" s="7">
        <f>E42/12</f>
        <v>1375</v>
      </c>
      <c r="D42" s="7">
        <f>C42/C7</f>
        <v>0.41881148914136029</v>
      </c>
      <c r="E42" s="55">
        <v>16500</v>
      </c>
    </row>
    <row r="43" spans="1:5" ht="15.6" x14ac:dyDescent="0.3">
      <c r="A43" s="31"/>
      <c r="B43" s="32" t="s">
        <v>60</v>
      </c>
      <c r="C43" s="30">
        <f>D43*C7</f>
        <v>27906.35</v>
      </c>
      <c r="D43" s="30">
        <f>D41+D23+D16</f>
        <v>8.5</v>
      </c>
      <c r="E43" s="30">
        <f>C43*12</f>
        <v>334876.19999999995</v>
      </c>
    </row>
    <row r="44" spans="1:5" ht="15.6" x14ac:dyDescent="0.3">
      <c r="A44" s="31" t="s">
        <v>69</v>
      </c>
      <c r="B44" s="16" t="s">
        <v>65</v>
      </c>
      <c r="C44" s="16">
        <f>D44*C7</f>
        <v>6666.6666666666661</v>
      </c>
      <c r="D44" s="22">
        <f>C10/C7/12</f>
        <v>2.030601159473262</v>
      </c>
      <c r="E44" s="16">
        <f>C44*12</f>
        <v>80000</v>
      </c>
    </row>
    <row r="45" spans="1:5" ht="15.6" x14ac:dyDescent="0.3">
      <c r="A45" s="24" t="s">
        <v>74</v>
      </c>
      <c r="B45" s="55" t="s">
        <v>72</v>
      </c>
      <c r="C45" s="76">
        <f>E45/12</f>
        <v>3458.3333333333335</v>
      </c>
      <c r="D45" s="54">
        <f>C45/C7</f>
        <v>1.0533743514767548</v>
      </c>
      <c r="E45" s="55">
        <v>41500</v>
      </c>
    </row>
    <row r="46" spans="1:5" ht="15.6" x14ac:dyDescent="0.3">
      <c r="A46" s="24" t="s">
        <v>75</v>
      </c>
      <c r="B46" s="55" t="s">
        <v>78</v>
      </c>
      <c r="C46" s="76">
        <f>E46/12</f>
        <v>3208.3333333333335</v>
      </c>
      <c r="D46" s="54">
        <f>C46/C7</f>
        <v>0.97722680799650741</v>
      </c>
      <c r="E46" s="55">
        <v>38500</v>
      </c>
    </row>
    <row r="47" spans="1:5" x14ac:dyDescent="0.3">
      <c r="A47" s="119" t="s">
        <v>166</v>
      </c>
      <c r="B47" s="120"/>
      <c r="C47" s="120"/>
      <c r="D47" s="120"/>
      <c r="E47" s="121"/>
    </row>
    <row r="48" spans="1:5" x14ac:dyDescent="0.3">
      <c r="A48" s="122"/>
      <c r="B48" s="123"/>
      <c r="C48" s="123"/>
      <c r="D48" s="123"/>
      <c r="E48" s="124"/>
    </row>
    <row r="49" spans="1:5" x14ac:dyDescent="0.3">
      <c r="A49" s="122"/>
      <c r="B49" s="123"/>
      <c r="C49" s="123"/>
      <c r="D49" s="123"/>
      <c r="E49" s="124"/>
    </row>
    <row r="50" spans="1:5" x14ac:dyDescent="0.3">
      <c r="A50" s="125"/>
      <c r="B50" s="126"/>
      <c r="C50" s="126"/>
      <c r="D50" s="126"/>
      <c r="E50" s="127"/>
    </row>
    <row r="51" spans="1:5" ht="42" customHeight="1" x14ac:dyDescent="0.3">
      <c r="A51" s="114" t="s">
        <v>167</v>
      </c>
      <c r="B51" s="115"/>
      <c r="C51" s="3"/>
      <c r="D51" s="3"/>
      <c r="E51" s="3"/>
    </row>
  </sheetData>
  <mergeCells count="18">
    <mergeCell ref="A10:B10"/>
    <mergeCell ref="C10:E10"/>
    <mergeCell ref="A47:E50"/>
    <mergeCell ref="A51:B51"/>
    <mergeCell ref="A7:B7"/>
    <mergeCell ref="C7:E7"/>
    <mergeCell ref="A13:B13"/>
    <mergeCell ref="C13:E13"/>
    <mergeCell ref="A14:E14"/>
    <mergeCell ref="A8:B8"/>
    <mergeCell ref="C8:E8"/>
    <mergeCell ref="A9:B9"/>
    <mergeCell ref="C9:E9"/>
    <mergeCell ref="A2:E4"/>
    <mergeCell ref="A5:B5"/>
    <mergeCell ref="C5:E5"/>
    <mergeCell ref="A6:B6"/>
    <mergeCell ref="C6:E6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0"/>
  <sheetViews>
    <sheetView topLeftCell="A4" workbookViewId="0">
      <selection activeCell="F53" sqref="F53"/>
    </sheetView>
  </sheetViews>
  <sheetFormatPr defaultRowHeight="13.8" x14ac:dyDescent="0.3"/>
  <cols>
    <col min="1" max="1" width="8.5546875" style="29" customWidth="1"/>
    <col min="2" max="2" width="51.88671875" customWidth="1"/>
    <col min="3" max="3" width="11.6640625" customWidth="1"/>
    <col min="4" max="4" width="11.88671875" customWidth="1"/>
    <col min="5" max="5" width="12.33203125" customWidth="1"/>
  </cols>
  <sheetData>
    <row r="2" spans="1:5" x14ac:dyDescent="0.3">
      <c r="A2" s="102" t="s">
        <v>112</v>
      </c>
      <c r="B2" s="102"/>
      <c r="C2" s="102"/>
      <c r="D2" s="102"/>
      <c r="E2" s="102"/>
    </row>
    <row r="3" spans="1:5" x14ac:dyDescent="0.3">
      <c r="A3" s="102"/>
      <c r="B3" s="102"/>
      <c r="C3" s="102"/>
      <c r="D3" s="102"/>
      <c r="E3" s="102"/>
    </row>
    <row r="4" spans="1:5" x14ac:dyDescent="0.3">
      <c r="A4" s="103"/>
      <c r="B4" s="103"/>
      <c r="C4" s="103"/>
      <c r="D4" s="103"/>
      <c r="E4" s="103"/>
    </row>
    <row r="5" spans="1:5" ht="15.6" x14ac:dyDescent="0.3">
      <c r="A5" s="97" t="s">
        <v>0</v>
      </c>
      <c r="B5" s="98"/>
      <c r="C5" s="97" t="s">
        <v>1</v>
      </c>
      <c r="D5" s="104"/>
      <c r="E5" s="98"/>
    </row>
    <row r="6" spans="1:5" ht="15.6" x14ac:dyDescent="0.3">
      <c r="A6" s="97" t="s">
        <v>2</v>
      </c>
      <c r="B6" s="98"/>
      <c r="C6" s="99">
        <v>1</v>
      </c>
      <c r="D6" s="100"/>
      <c r="E6" s="101"/>
    </row>
    <row r="7" spans="1:5" ht="15.6" x14ac:dyDescent="0.3">
      <c r="A7" s="97" t="s">
        <v>3</v>
      </c>
      <c r="B7" s="98"/>
      <c r="C7" s="99">
        <v>3272.1</v>
      </c>
      <c r="D7" s="100"/>
      <c r="E7" s="101"/>
    </row>
    <row r="8" spans="1:5" ht="15.6" x14ac:dyDescent="0.3">
      <c r="A8" s="97" t="s">
        <v>4</v>
      </c>
      <c r="B8" s="98"/>
      <c r="C8" s="99">
        <v>420</v>
      </c>
      <c r="D8" s="100"/>
      <c r="E8" s="101"/>
    </row>
    <row r="9" spans="1:5" ht="15.6" x14ac:dyDescent="0.3">
      <c r="A9" s="97" t="s">
        <v>5</v>
      </c>
      <c r="B9" s="98"/>
      <c r="C9" s="99">
        <v>8.5</v>
      </c>
      <c r="D9" s="100"/>
      <c r="E9" s="101"/>
    </row>
    <row r="10" spans="1:5" ht="15.6" x14ac:dyDescent="0.3">
      <c r="A10" s="97" t="s">
        <v>6</v>
      </c>
      <c r="B10" s="98"/>
      <c r="C10" s="99">
        <v>16000</v>
      </c>
      <c r="D10" s="100"/>
      <c r="E10" s="101"/>
    </row>
    <row r="11" spans="1:5" ht="15.6" x14ac:dyDescent="0.3">
      <c r="A11" s="50"/>
      <c r="B11" s="51" t="s">
        <v>56</v>
      </c>
      <c r="C11" s="50"/>
      <c r="D11" s="52">
        <f>C7*C9</f>
        <v>27812.85</v>
      </c>
      <c r="E11" s="51"/>
    </row>
    <row r="12" spans="1:5" ht="15.6" x14ac:dyDescent="0.3">
      <c r="A12" s="50"/>
      <c r="B12" s="51" t="s">
        <v>64</v>
      </c>
      <c r="C12" s="50"/>
      <c r="D12" s="70">
        <f>D11+(C10/12)</f>
        <v>29146.183333333331</v>
      </c>
      <c r="E12" s="51"/>
    </row>
    <row r="13" spans="1:5" ht="15.6" x14ac:dyDescent="0.3">
      <c r="A13" s="97" t="s">
        <v>7</v>
      </c>
      <c r="B13" s="98"/>
      <c r="C13" s="97">
        <f>(C7*C9*12)+C10</f>
        <v>349754.19999999995</v>
      </c>
      <c r="D13" s="104"/>
      <c r="E13" s="98"/>
    </row>
    <row r="14" spans="1:5" ht="15.6" x14ac:dyDescent="0.3">
      <c r="A14" s="97" t="s">
        <v>8</v>
      </c>
      <c r="B14" s="104"/>
      <c r="C14" s="104"/>
      <c r="D14" s="104"/>
      <c r="E14" s="98"/>
    </row>
    <row r="15" spans="1:5" ht="46.8" x14ac:dyDescent="0.3">
      <c r="A15" s="4"/>
      <c r="B15" s="10" t="s">
        <v>12</v>
      </c>
      <c r="C15" s="10" t="s">
        <v>13</v>
      </c>
      <c r="D15" s="11" t="s">
        <v>14</v>
      </c>
      <c r="E15" s="10" t="s">
        <v>15</v>
      </c>
    </row>
    <row r="16" spans="1:5" ht="18" x14ac:dyDescent="0.35">
      <c r="A16" s="23">
        <v>1</v>
      </c>
      <c r="B16" s="14" t="s">
        <v>9</v>
      </c>
      <c r="C16" s="21">
        <f>C17+C18</f>
        <v>6957.1917149999999</v>
      </c>
      <c r="D16" s="21">
        <f>D17+D18</f>
        <v>2.2152909594246304</v>
      </c>
      <c r="E16" s="21">
        <f>E17+E18</f>
        <v>83486.30058000001</v>
      </c>
    </row>
    <row r="17" spans="1:5" ht="15.6" x14ac:dyDescent="0.3">
      <c r="A17" s="24" t="s">
        <v>10</v>
      </c>
      <c r="B17" s="8" t="s">
        <v>11</v>
      </c>
      <c r="C17" s="54">
        <f>(D11*12.59%)+(C10*12.59%/12)</f>
        <v>3669.5044816666668</v>
      </c>
      <c r="D17" s="54">
        <f>C17/C7</f>
        <v>1.1214524255574911</v>
      </c>
      <c r="E17" s="54">
        <f>C17*12</f>
        <v>44034.053780000002</v>
      </c>
    </row>
    <row r="18" spans="1:5" ht="15.6" x14ac:dyDescent="0.3">
      <c r="A18" s="4" t="s">
        <v>16</v>
      </c>
      <c r="B18" s="8" t="s">
        <v>17</v>
      </c>
      <c r="C18" s="62">
        <f>SUM(C19:C21)</f>
        <v>3287.6872333333331</v>
      </c>
      <c r="D18" s="62">
        <f>SUM(D19:D22)</f>
        <v>1.0938385338671393</v>
      </c>
      <c r="E18" s="62">
        <f t="shared" ref="E18" si="0">SUM(E19:E21)</f>
        <v>39452.246800000001</v>
      </c>
    </row>
    <row r="19" spans="1:5" ht="15.6" x14ac:dyDescent="0.3">
      <c r="A19" s="24" t="s">
        <v>18</v>
      </c>
      <c r="B19" s="8" t="s">
        <v>19</v>
      </c>
      <c r="C19" s="54">
        <f>E19/12</f>
        <v>1458.5833333333333</v>
      </c>
      <c r="D19" s="54">
        <f>C19/C7</f>
        <v>0.44576367877917339</v>
      </c>
      <c r="E19" s="54">
        <v>17503</v>
      </c>
    </row>
    <row r="20" spans="1:5" ht="42" x14ac:dyDescent="0.3">
      <c r="A20" s="24" t="s">
        <v>20</v>
      </c>
      <c r="B20" s="13" t="s">
        <v>21</v>
      </c>
      <c r="C20" s="7">
        <f>D20*C7</f>
        <v>883.46699999999998</v>
      </c>
      <c r="D20" s="2">
        <v>0.27</v>
      </c>
      <c r="E20" s="7">
        <f>C20*12</f>
        <v>10601.603999999999</v>
      </c>
    </row>
    <row r="21" spans="1:5" ht="15.6" x14ac:dyDescent="0.3">
      <c r="A21" s="24" t="s">
        <v>22</v>
      </c>
      <c r="B21" s="8" t="s">
        <v>23</v>
      </c>
      <c r="C21" s="7">
        <f>D11*3.4%</f>
        <v>945.63689999999997</v>
      </c>
      <c r="D21" s="7">
        <f>C21/C7</f>
        <v>0.28899999999999998</v>
      </c>
      <c r="E21" s="7">
        <f>C21*12</f>
        <v>11347.6428</v>
      </c>
    </row>
    <row r="22" spans="1:5" ht="15.6" x14ac:dyDescent="0.3">
      <c r="A22" s="24" t="s">
        <v>66</v>
      </c>
      <c r="B22" s="8" t="s">
        <v>67</v>
      </c>
      <c r="C22" s="7">
        <f>E22/12</f>
        <v>291.46183333333329</v>
      </c>
      <c r="D22" s="7">
        <f>C22/C7</f>
        <v>8.9074855087965921E-2</v>
      </c>
      <c r="E22" s="7">
        <f>C13*1%</f>
        <v>3497.5419999999995</v>
      </c>
    </row>
    <row r="23" spans="1:5" ht="18" x14ac:dyDescent="0.35">
      <c r="A23" s="25" t="s">
        <v>24</v>
      </c>
      <c r="B23" s="14" t="s">
        <v>25</v>
      </c>
      <c r="C23" s="21">
        <f>C24+C28+C34</f>
        <v>19589.730666666663</v>
      </c>
      <c r="D23" s="21">
        <f>D24+D28+D34</f>
        <v>5.9868985259211716</v>
      </c>
      <c r="E23" s="21">
        <f>E24+E28+E34</f>
        <v>235076.76799999998</v>
      </c>
    </row>
    <row r="24" spans="1:5" ht="17.399999999999999" x14ac:dyDescent="0.3">
      <c r="A24" s="26" t="s">
        <v>26</v>
      </c>
      <c r="B24" s="15" t="s">
        <v>27</v>
      </c>
      <c r="C24" s="22">
        <f>SUM(C25:C27)</f>
        <v>759.87966666666659</v>
      </c>
      <c r="D24" s="22">
        <f>SUM(D25:D27)</f>
        <v>0.23222996444688934</v>
      </c>
      <c r="E24" s="22">
        <f>SUM(E25:E27)</f>
        <v>9118.5559999999987</v>
      </c>
    </row>
    <row r="25" spans="1:5" ht="15.6" x14ac:dyDescent="0.3">
      <c r="A25" s="24" t="s">
        <v>28</v>
      </c>
      <c r="B25" s="13" t="s">
        <v>61</v>
      </c>
      <c r="C25" s="7">
        <f>D25*C7</f>
        <v>588.97799999999995</v>
      </c>
      <c r="D25" s="2">
        <v>0.18</v>
      </c>
      <c r="E25" s="7">
        <f>C25*12</f>
        <v>7067.735999999999</v>
      </c>
    </row>
    <row r="26" spans="1:5" ht="15.6" x14ac:dyDescent="0.3">
      <c r="A26" s="24" t="s">
        <v>29</v>
      </c>
      <c r="B26" s="2" t="s">
        <v>30</v>
      </c>
      <c r="C26" s="7">
        <f>D26*C7</f>
        <v>163.60500000000002</v>
      </c>
      <c r="D26" s="2">
        <v>0.05</v>
      </c>
      <c r="E26" s="7">
        <f>C26*12</f>
        <v>1963.2600000000002</v>
      </c>
    </row>
    <row r="27" spans="1:5" ht="15.6" x14ac:dyDescent="0.3">
      <c r="A27" s="57" t="s">
        <v>31</v>
      </c>
      <c r="B27" s="55" t="s">
        <v>57</v>
      </c>
      <c r="C27" s="54">
        <f>E27/12</f>
        <v>7.2966666666666669</v>
      </c>
      <c r="D27" s="56">
        <f>C27/C7</f>
        <v>2.2299644468893576E-3</v>
      </c>
      <c r="E27" s="55">
        <f>87.56*1</f>
        <v>87.56</v>
      </c>
    </row>
    <row r="28" spans="1:5" ht="17.399999999999999" x14ac:dyDescent="0.3">
      <c r="A28" s="65" t="s">
        <v>32</v>
      </c>
      <c r="B28" s="17" t="s">
        <v>33</v>
      </c>
      <c r="C28" s="22">
        <f>SUM(C29:C33)</f>
        <v>9486.134</v>
      </c>
      <c r="D28" s="22">
        <f>SUM(D29:D33)</f>
        <v>2.8990966046269975</v>
      </c>
      <c r="E28" s="22">
        <f>SUM(E29:E33)</f>
        <v>113833.60800000001</v>
      </c>
    </row>
    <row r="29" spans="1:5" ht="15.6" x14ac:dyDescent="0.3">
      <c r="A29" s="57" t="s">
        <v>34</v>
      </c>
      <c r="B29" s="13" t="s">
        <v>62</v>
      </c>
      <c r="C29" s="7">
        <f>D29*C7</f>
        <v>5726.1750000000002</v>
      </c>
      <c r="D29" s="2">
        <v>1.75</v>
      </c>
      <c r="E29" s="7">
        <f>C29*12</f>
        <v>68714.100000000006</v>
      </c>
    </row>
    <row r="30" spans="1:5" ht="15.6" x14ac:dyDescent="0.3">
      <c r="A30" s="57" t="s">
        <v>35</v>
      </c>
      <c r="B30" s="55" t="s">
        <v>36</v>
      </c>
      <c r="C30" s="55">
        <v>1175</v>
      </c>
      <c r="D30" s="54">
        <f>C30/C7</f>
        <v>0.35909660462699794</v>
      </c>
      <c r="E30" s="55">
        <f>C30*12</f>
        <v>14100</v>
      </c>
    </row>
    <row r="31" spans="1:5" ht="15.6" x14ac:dyDescent="0.3">
      <c r="A31" s="57" t="s">
        <v>37</v>
      </c>
      <c r="B31" s="55" t="s">
        <v>30</v>
      </c>
      <c r="C31" s="54">
        <f>D31*C7</f>
        <v>294.48899999999998</v>
      </c>
      <c r="D31" s="55">
        <v>0.09</v>
      </c>
      <c r="E31" s="54">
        <f>C31*12</f>
        <v>3533.8679999999995</v>
      </c>
    </row>
    <row r="32" spans="1:5" ht="15.6" x14ac:dyDescent="0.3">
      <c r="A32" s="57" t="s">
        <v>38</v>
      </c>
      <c r="B32" s="55" t="s">
        <v>40</v>
      </c>
      <c r="C32" s="54">
        <f>D32*C7</f>
        <v>98.162999999999997</v>
      </c>
      <c r="D32" s="55">
        <v>0.03</v>
      </c>
      <c r="E32" s="54">
        <f>C32*12</f>
        <v>1177.9559999999999</v>
      </c>
    </row>
    <row r="33" spans="1:5" ht="15.6" x14ac:dyDescent="0.3">
      <c r="A33" s="57" t="s">
        <v>39</v>
      </c>
      <c r="B33" s="55" t="s">
        <v>41</v>
      </c>
      <c r="C33" s="54">
        <f>D33*C7</f>
        <v>2192.3070000000002</v>
      </c>
      <c r="D33" s="55">
        <v>0.67</v>
      </c>
      <c r="E33" s="54">
        <f>C33*12</f>
        <v>26307.684000000001</v>
      </c>
    </row>
    <row r="34" spans="1:5" ht="31.2" x14ac:dyDescent="0.3">
      <c r="A34" s="26" t="s">
        <v>42</v>
      </c>
      <c r="B34" s="18" t="s">
        <v>43</v>
      </c>
      <c r="C34" s="22">
        <f>SUM(C35:C40)</f>
        <v>9343.7169999999969</v>
      </c>
      <c r="D34" s="22">
        <f>SUM(D35:D40)</f>
        <v>2.8555719568472844</v>
      </c>
      <c r="E34" s="22">
        <f>SUM(E35:E40)</f>
        <v>112124.60399999999</v>
      </c>
    </row>
    <row r="35" spans="1:5" ht="27" x14ac:dyDescent="0.3">
      <c r="A35" s="24" t="s">
        <v>44</v>
      </c>
      <c r="B35" s="12" t="s">
        <v>73</v>
      </c>
      <c r="C35" s="7">
        <f>D35*C7</f>
        <v>8278.4129999999986</v>
      </c>
      <c r="D35" s="2">
        <v>2.5299999999999998</v>
      </c>
      <c r="E35" s="7">
        <f>C35*12</f>
        <v>99340.955999999976</v>
      </c>
    </row>
    <row r="36" spans="1:5" ht="15.6" x14ac:dyDescent="0.3">
      <c r="A36" s="24" t="s">
        <v>46</v>
      </c>
      <c r="B36" s="58" t="s">
        <v>45</v>
      </c>
      <c r="C36" s="54">
        <f>D36*C7</f>
        <v>294.48899999999998</v>
      </c>
      <c r="D36" s="55">
        <v>0.09</v>
      </c>
      <c r="E36" s="54">
        <f t="shared" ref="E36:E40" si="1">C36*12</f>
        <v>3533.8679999999995</v>
      </c>
    </row>
    <row r="37" spans="1:5" ht="15.6" x14ac:dyDescent="0.3">
      <c r="A37" s="24" t="s">
        <v>47</v>
      </c>
      <c r="B37" s="55" t="s">
        <v>48</v>
      </c>
      <c r="C37" s="54">
        <f>D37*C7</f>
        <v>65.441999999999993</v>
      </c>
      <c r="D37" s="55">
        <v>0.02</v>
      </c>
      <c r="E37" s="54">
        <f t="shared" si="1"/>
        <v>785.30399999999986</v>
      </c>
    </row>
    <row r="38" spans="1:5" ht="15.6" x14ac:dyDescent="0.3">
      <c r="A38" s="24" t="s">
        <v>49</v>
      </c>
      <c r="B38" s="55" t="s">
        <v>50</v>
      </c>
      <c r="C38" s="54">
        <f>D38*C7</f>
        <v>98.162999999999997</v>
      </c>
      <c r="D38" s="55">
        <v>0.03</v>
      </c>
      <c r="E38" s="54">
        <f t="shared" si="1"/>
        <v>1177.9559999999999</v>
      </c>
    </row>
    <row r="39" spans="1:5" ht="15.6" x14ac:dyDescent="0.3">
      <c r="A39" s="57" t="s">
        <v>51</v>
      </c>
      <c r="B39" s="55" t="s">
        <v>52</v>
      </c>
      <c r="C39" s="59">
        <f>E39/12</f>
        <v>280</v>
      </c>
      <c r="D39" s="59">
        <f>C39/C7</f>
        <v>8.5571956847284622E-2</v>
      </c>
      <c r="E39" s="59">
        <f>C8*4*2</f>
        <v>3360</v>
      </c>
    </row>
    <row r="40" spans="1:5" ht="15.6" x14ac:dyDescent="0.3">
      <c r="A40" s="24" t="s">
        <v>53</v>
      </c>
      <c r="B40" s="55" t="s">
        <v>30</v>
      </c>
      <c r="C40" s="54">
        <f>D40*C7</f>
        <v>327.21000000000004</v>
      </c>
      <c r="D40" s="55">
        <v>0.1</v>
      </c>
      <c r="E40" s="54">
        <f t="shared" si="1"/>
        <v>3926.5200000000004</v>
      </c>
    </row>
    <row r="41" spans="1:5" ht="17.399999999999999" x14ac:dyDescent="0.3">
      <c r="A41" s="26" t="s">
        <v>68</v>
      </c>
      <c r="B41" s="16" t="s">
        <v>59</v>
      </c>
      <c r="C41" s="22">
        <f>D41*C7</f>
        <v>974.46578500000294</v>
      </c>
      <c r="D41" s="22">
        <f>C9-D16-D23</f>
        <v>0.2978105146541985</v>
      </c>
      <c r="E41" s="22">
        <f>C41*12</f>
        <v>11693.589420000035</v>
      </c>
    </row>
    <row r="42" spans="1:5" ht="15.6" x14ac:dyDescent="0.3">
      <c r="A42" s="38" t="s">
        <v>77</v>
      </c>
      <c r="B42" s="55" t="s">
        <v>78</v>
      </c>
      <c r="C42" s="54">
        <f>E42/12</f>
        <v>974.46583333333331</v>
      </c>
      <c r="D42" s="54">
        <f>C42/C7</f>
        <v>0.29781052942554731</v>
      </c>
      <c r="E42" s="55">
        <v>11693.59</v>
      </c>
    </row>
    <row r="43" spans="1:5" ht="15.6" x14ac:dyDescent="0.3">
      <c r="A43" s="31"/>
      <c r="B43" s="32" t="s">
        <v>60</v>
      </c>
      <c r="C43" s="30">
        <f>D43*C7</f>
        <v>27812.85</v>
      </c>
      <c r="D43" s="30">
        <f>D41+D23+D16</f>
        <v>8.5</v>
      </c>
      <c r="E43" s="30">
        <f>C43*12</f>
        <v>333754.19999999995</v>
      </c>
    </row>
    <row r="44" spans="1:5" ht="15.6" x14ac:dyDescent="0.3">
      <c r="A44" s="31" t="s">
        <v>69</v>
      </c>
      <c r="B44" s="16" t="s">
        <v>65</v>
      </c>
      <c r="C44" s="16">
        <f>D44*C7</f>
        <v>1333.3333333333333</v>
      </c>
      <c r="D44" s="22">
        <f>C10/C7/12</f>
        <v>0.4074855087965934</v>
      </c>
      <c r="E44" s="16">
        <f>C44*12</f>
        <v>16000</v>
      </c>
    </row>
    <row r="45" spans="1:5" ht="15.6" x14ac:dyDescent="0.3">
      <c r="A45" s="24" t="s">
        <v>74</v>
      </c>
      <c r="B45" s="55" t="s">
        <v>72</v>
      </c>
      <c r="C45" s="76">
        <f>E45/12</f>
        <v>1333.3333333333333</v>
      </c>
      <c r="D45" s="54">
        <f>C45/C7</f>
        <v>0.4074855087965934</v>
      </c>
      <c r="E45" s="55">
        <v>16000</v>
      </c>
    </row>
    <row r="46" spans="1:5" x14ac:dyDescent="0.3">
      <c r="A46" s="119" t="s">
        <v>166</v>
      </c>
      <c r="B46" s="120"/>
      <c r="C46" s="120"/>
      <c r="D46" s="120"/>
      <c r="E46" s="121"/>
    </row>
    <row r="47" spans="1:5" x14ac:dyDescent="0.3">
      <c r="A47" s="122"/>
      <c r="B47" s="123"/>
      <c r="C47" s="123"/>
      <c r="D47" s="123"/>
      <c r="E47" s="124"/>
    </row>
    <row r="48" spans="1:5" x14ac:dyDescent="0.3">
      <c r="A48" s="122"/>
      <c r="B48" s="123"/>
      <c r="C48" s="123"/>
      <c r="D48" s="123"/>
      <c r="E48" s="124"/>
    </row>
    <row r="49" spans="1:5" x14ac:dyDescent="0.3">
      <c r="A49" s="125"/>
      <c r="B49" s="126"/>
      <c r="C49" s="126"/>
      <c r="D49" s="126"/>
      <c r="E49" s="127"/>
    </row>
    <row r="50" spans="1:5" ht="40.5" customHeight="1" x14ac:dyDescent="0.3">
      <c r="A50" s="114" t="s">
        <v>167</v>
      </c>
      <c r="B50" s="115"/>
      <c r="C50" s="3"/>
      <c r="D50" s="3"/>
      <c r="E50" s="3"/>
    </row>
  </sheetData>
  <mergeCells count="18">
    <mergeCell ref="A10:B10"/>
    <mergeCell ref="C10:E10"/>
    <mergeCell ref="A46:E49"/>
    <mergeCell ref="A50:B50"/>
    <mergeCell ref="A7:B7"/>
    <mergeCell ref="C7:E7"/>
    <mergeCell ref="A13:B13"/>
    <mergeCell ref="C13:E13"/>
    <mergeCell ref="A14:E14"/>
    <mergeCell ref="A8:B8"/>
    <mergeCell ref="C8:E8"/>
    <mergeCell ref="A9:B9"/>
    <mergeCell ref="C9:E9"/>
    <mergeCell ref="A2:E4"/>
    <mergeCell ref="A5:B5"/>
    <mergeCell ref="C5:E5"/>
    <mergeCell ref="A6:B6"/>
    <mergeCell ref="C6:E6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8"/>
  <sheetViews>
    <sheetView topLeftCell="A35" workbookViewId="0">
      <selection activeCell="H58" sqref="H58"/>
    </sheetView>
  </sheetViews>
  <sheetFormatPr defaultRowHeight="13.8" x14ac:dyDescent="0.3"/>
  <cols>
    <col min="1" max="1" width="8.5546875" style="29" customWidth="1"/>
    <col min="2" max="2" width="51.88671875" customWidth="1"/>
    <col min="3" max="3" width="11.6640625" customWidth="1"/>
    <col min="4" max="4" width="11.88671875" customWidth="1"/>
    <col min="5" max="5" width="12.33203125" customWidth="1"/>
  </cols>
  <sheetData>
    <row r="2" spans="1:5" x14ac:dyDescent="0.3">
      <c r="A2" s="102" t="s">
        <v>111</v>
      </c>
      <c r="B2" s="102"/>
      <c r="C2" s="102"/>
      <c r="D2" s="102"/>
      <c r="E2" s="102"/>
    </row>
    <row r="3" spans="1:5" x14ac:dyDescent="0.3">
      <c r="A3" s="102"/>
      <c r="B3" s="102"/>
      <c r="C3" s="102"/>
      <c r="D3" s="102"/>
      <c r="E3" s="102"/>
    </row>
    <row r="4" spans="1:5" x14ac:dyDescent="0.3">
      <c r="A4" s="103"/>
      <c r="B4" s="103"/>
      <c r="C4" s="103"/>
      <c r="D4" s="103"/>
      <c r="E4" s="103"/>
    </row>
    <row r="5" spans="1:5" ht="15.6" x14ac:dyDescent="0.3">
      <c r="A5" s="97" t="s">
        <v>0</v>
      </c>
      <c r="B5" s="98"/>
      <c r="C5" s="97" t="s">
        <v>1</v>
      </c>
      <c r="D5" s="104"/>
      <c r="E5" s="98"/>
    </row>
    <row r="6" spans="1:5" ht="15.6" x14ac:dyDescent="0.3">
      <c r="A6" s="97" t="s">
        <v>2</v>
      </c>
      <c r="B6" s="98"/>
      <c r="C6" s="99">
        <v>1</v>
      </c>
      <c r="D6" s="100"/>
      <c r="E6" s="101"/>
    </row>
    <row r="7" spans="1:5" ht="15.6" x14ac:dyDescent="0.3">
      <c r="A7" s="97" t="s">
        <v>3</v>
      </c>
      <c r="B7" s="98"/>
      <c r="C7" s="99">
        <v>3248</v>
      </c>
      <c r="D7" s="100"/>
      <c r="E7" s="101"/>
    </row>
    <row r="8" spans="1:5" ht="15.6" x14ac:dyDescent="0.3">
      <c r="A8" s="97" t="s">
        <v>4</v>
      </c>
      <c r="B8" s="98"/>
      <c r="C8" s="99">
        <v>368</v>
      </c>
      <c r="D8" s="100"/>
      <c r="E8" s="101"/>
    </row>
    <row r="9" spans="1:5" ht="15.6" x14ac:dyDescent="0.3">
      <c r="A9" s="97" t="s">
        <v>5</v>
      </c>
      <c r="B9" s="98"/>
      <c r="C9" s="99">
        <v>9.5</v>
      </c>
      <c r="D9" s="100"/>
      <c r="E9" s="101"/>
    </row>
    <row r="10" spans="1:5" ht="15.6" x14ac:dyDescent="0.3">
      <c r="A10" s="97" t="s">
        <v>6</v>
      </c>
      <c r="B10" s="98"/>
      <c r="C10" s="99">
        <v>14000</v>
      </c>
      <c r="D10" s="100"/>
      <c r="E10" s="101"/>
    </row>
    <row r="11" spans="1:5" ht="15.6" x14ac:dyDescent="0.3">
      <c r="A11" s="50"/>
      <c r="B11" s="51" t="s">
        <v>56</v>
      </c>
      <c r="C11" s="50"/>
      <c r="D11" s="52">
        <f>C7*C9</f>
        <v>30856</v>
      </c>
      <c r="E11" s="51"/>
    </row>
    <row r="12" spans="1:5" ht="15.6" x14ac:dyDescent="0.3">
      <c r="A12" s="50"/>
      <c r="B12" s="51" t="s">
        <v>64</v>
      </c>
      <c r="C12" s="50"/>
      <c r="D12" s="70">
        <f>D11+(C10/12)</f>
        <v>32022.666666666668</v>
      </c>
      <c r="E12" s="51"/>
    </row>
    <row r="13" spans="1:5" ht="15.6" x14ac:dyDescent="0.3">
      <c r="A13" s="97" t="s">
        <v>7</v>
      </c>
      <c r="B13" s="98"/>
      <c r="C13" s="97">
        <f>(C7*C9*12)+C10</f>
        <v>384272</v>
      </c>
      <c r="D13" s="104"/>
      <c r="E13" s="98"/>
    </row>
    <row r="14" spans="1:5" ht="15.6" x14ac:dyDescent="0.3">
      <c r="A14" s="97" t="s">
        <v>8</v>
      </c>
      <c r="B14" s="104"/>
      <c r="C14" s="104"/>
      <c r="D14" s="104"/>
      <c r="E14" s="98"/>
    </row>
    <row r="15" spans="1:5" ht="46.8" x14ac:dyDescent="0.3">
      <c r="A15" s="4"/>
      <c r="B15" s="10" t="s">
        <v>12</v>
      </c>
      <c r="C15" s="10" t="s">
        <v>13</v>
      </c>
      <c r="D15" s="11" t="s">
        <v>14</v>
      </c>
      <c r="E15" s="10" t="s">
        <v>15</v>
      </c>
    </row>
    <row r="16" spans="1:5" ht="18" x14ac:dyDescent="0.35">
      <c r="A16" s="23">
        <v>1</v>
      </c>
      <c r="B16" s="14" t="s">
        <v>9</v>
      </c>
      <c r="C16" s="21">
        <f>C17+C18</f>
        <v>9087.0253333333349</v>
      </c>
      <c r="D16" s="21">
        <f>D17+D18</f>
        <v>2.8963214285714285</v>
      </c>
      <c r="E16" s="21">
        <f>E17+E18</f>
        <v>109044.304</v>
      </c>
    </row>
    <row r="17" spans="1:5" ht="15.6" x14ac:dyDescent="0.3">
      <c r="A17" s="24" t="s">
        <v>10</v>
      </c>
      <c r="B17" s="8" t="s">
        <v>11</v>
      </c>
      <c r="C17" s="54">
        <f>(D11*13.8%)+(C10*13.8%/12)</f>
        <v>4419.1280000000006</v>
      </c>
      <c r="D17" s="54">
        <f>C17/C7</f>
        <v>1.3605689655172415</v>
      </c>
      <c r="E17" s="54">
        <f>C17*12</f>
        <v>53029.536000000007</v>
      </c>
    </row>
    <row r="18" spans="1:5" ht="15.6" x14ac:dyDescent="0.3">
      <c r="A18" s="4" t="s">
        <v>16</v>
      </c>
      <c r="B18" s="8" t="s">
        <v>17</v>
      </c>
      <c r="C18" s="62">
        <f>SUM(C19:C21)</f>
        <v>4667.8973333333333</v>
      </c>
      <c r="D18" s="62">
        <f>SUM(D19:D22)</f>
        <v>1.5357524630541872</v>
      </c>
      <c r="E18" s="62">
        <f t="shared" ref="E18" si="0">SUM(E19:E21)</f>
        <v>56014.768000000004</v>
      </c>
    </row>
    <row r="19" spans="1:5" ht="15.6" x14ac:dyDescent="0.3">
      <c r="A19" s="24" t="s">
        <v>18</v>
      </c>
      <c r="B19" s="8" t="s">
        <v>19</v>
      </c>
      <c r="C19" s="54">
        <f>E19/12</f>
        <v>2741.8333333333335</v>
      </c>
      <c r="D19" s="54">
        <f>C19/C7</f>
        <v>0.84416050903119877</v>
      </c>
      <c r="E19" s="54">
        <v>32902</v>
      </c>
    </row>
    <row r="20" spans="1:5" ht="42" x14ac:dyDescent="0.3">
      <c r="A20" s="24" t="s">
        <v>20</v>
      </c>
      <c r="B20" s="13" t="s">
        <v>21</v>
      </c>
      <c r="C20" s="54">
        <f>D20*C7</f>
        <v>876.96</v>
      </c>
      <c r="D20" s="55">
        <v>0.27</v>
      </c>
      <c r="E20" s="54">
        <f>C20*12</f>
        <v>10523.52</v>
      </c>
    </row>
    <row r="21" spans="1:5" ht="15.6" x14ac:dyDescent="0.3">
      <c r="A21" s="24" t="s">
        <v>22</v>
      </c>
      <c r="B21" s="8" t="s">
        <v>23</v>
      </c>
      <c r="C21" s="7">
        <f>D11*3.4%</f>
        <v>1049.104</v>
      </c>
      <c r="D21" s="7">
        <f>C21/C7</f>
        <v>0.32300000000000001</v>
      </c>
      <c r="E21" s="7">
        <f>C21*12</f>
        <v>12589.248</v>
      </c>
    </row>
    <row r="22" spans="1:5" ht="15.6" x14ac:dyDescent="0.3">
      <c r="A22" s="24" t="s">
        <v>66</v>
      </c>
      <c r="B22" s="8" t="s">
        <v>67</v>
      </c>
      <c r="C22" s="7">
        <f>E22/12</f>
        <v>320.22666666666669</v>
      </c>
      <c r="D22" s="7">
        <f>C22/C7</f>
        <v>9.8591954022988509E-2</v>
      </c>
      <c r="E22" s="7">
        <f>C13*1%</f>
        <v>3842.7200000000003</v>
      </c>
    </row>
    <row r="23" spans="1:5" ht="18" x14ac:dyDescent="0.35">
      <c r="A23" s="25" t="s">
        <v>24</v>
      </c>
      <c r="B23" s="14" t="s">
        <v>25</v>
      </c>
      <c r="C23" s="21">
        <f>C24+C28+C34</f>
        <v>19421.549999999996</v>
      </c>
      <c r="D23" s="21">
        <f>D24+D28+D34</f>
        <v>5.9795412561576349</v>
      </c>
      <c r="E23" s="21">
        <f>E24+E28+E34</f>
        <v>233058.59999999998</v>
      </c>
    </row>
    <row r="24" spans="1:5" ht="17.399999999999999" x14ac:dyDescent="0.3">
      <c r="A24" s="26" t="s">
        <v>26</v>
      </c>
      <c r="B24" s="15" t="s">
        <v>27</v>
      </c>
      <c r="C24" s="22">
        <f>SUM(C25:C27)</f>
        <v>754.33666666666659</v>
      </c>
      <c r="D24" s="22">
        <f>SUM(D25:D27)</f>
        <v>0.23224651067323479</v>
      </c>
      <c r="E24" s="22">
        <f>SUM(E25:E27)</f>
        <v>9052.0399999999991</v>
      </c>
    </row>
    <row r="25" spans="1:5" ht="15.6" x14ac:dyDescent="0.3">
      <c r="A25" s="24" t="s">
        <v>28</v>
      </c>
      <c r="B25" s="13" t="s">
        <v>61</v>
      </c>
      <c r="C25" s="7">
        <f>D25*C7</f>
        <v>584.64</v>
      </c>
      <c r="D25" s="2">
        <v>0.18</v>
      </c>
      <c r="E25" s="7">
        <f>C25*12</f>
        <v>7015.68</v>
      </c>
    </row>
    <row r="26" spans="1:5" ht="15.6" x14ac:dyDescent="0.3">
      <c r="A26" s="24" t="s">
        <v>29</v>
      </c>
      <c r="B26" s="2" t="s">
        <v>30</v>
      </c>
      <c r="C26" s="7">
        <f>D26*C7</f>
        <v>162.4</v>
      </c>
      <c r="D26" s="2">
        <v>0.05</v>
      </c>
      <c r="E26" s="7">
        <f>C26*12</f>
        <v>1948.8000000000002</v>
      </c>
    </row>
    <row r="27" spans="1:5" ht="15.6" x14ac:dyDescent="0.3">
      <c r="A27" s="57" t="s">
        <v>31</v>
      </c>
      <c r="B27" s="55" t="s">
        <v>57</v>
      </c>
      <c r="C27" s="54">
        <f>E27/12</f>
        <v>7.2966666666666669</v>
      </c>
      <c r="D27" s="56">
        <f>C27/C7</f>
        <v>2.2465106732348114E-3</v>
      </c>
      <c r="E27" s="55">
        <f>87.56*1</f>
        <v>87.56</v>
      </c>
    </row>
    <row r="28" spans="1:5" ht="17.399999999999999" x14ac:dyDescent="0.3">
      <c r="A28" s="26" t="s">
        <v>32</v>
      </c>
      <c r="B28" s="17" t="s">
        <v>33</v>
      </c>
      <c r="C28" s="22">
        <f>SUM(C29:C33)</f>
        <v>9424.92</v>
      </c>
      <c r="D28" s="22">
        <f>SUM(D29:D33)</f>
        <v>2.9017610837438421</v>
      </c>
      <c r="E28" s="22">
        <f>SUM(E29:E33)</f>
        <v>113099.04000000001</v>
      </c>
    </row>
    <row r="29" spans="1:5" ht="15.6" x14ac:dyDescent="0.3">
      <c r="A29" s="57" t="s">
        <v>34</v>
      </c>
      <c r="B29" s="13" t="s">
        <v>62</v>
      </c>
      <c r="C29" s="7">
        <f>D29*C7</f>
        <v>5684</v>
      </c>
      <c r="D29" s="2">
        <v>1.75</v>
      </c>
      <c r="E29" s="7">
        <f>C29*12</f>
        <v>68208</v>
      </c>
    </row>
    <row r="30" spans="1:5" ht="15.6" x14ac:dyDescent="0.3">
      <c r="A30" s="57" t="s">
        <v>35</v>
      </c>
      <c r="B30" s="55" t="s">
        <v>36</v>
      </c>
      <c r="C30" s="55">
        <v>1175</v>
      </c>
      <c r="D30" s="7">
        <f>C30/C7</f>
        <v>0.36176108374384236</v>
      </c>
      <c r="E30" s="2">
        <f>C30*12</f>
        <v>14100</v>
      </c>
    </row>
    <row r="31" spans="1:5" ht="15.6" x14ac:dyDescent="0.3">
      <c r="A31" s="57" t="s">
        <v>37</v>
      </c>
      <c r="B31" s="2" t="s">
        <v>30</v>
      </c>
      <c r="C31" s="7">
        <f>D31*C7</f>
        <v>292.32</v>
      </c>
      <c r="D31" s="2">
        <v>0.09</v>
      </c>
      <c r="E31" s="7">
        <f>C31*12</f>
        <v>3507.84</v>
      </c>
    </row>
    <row r="32" spans="1:5" ht="15.6" x14ac:dyDescent="0.3">
      <c r="A32" s="57" t="s">
        <v>38</v>
      </c>
      <c r="B32" s="2" t="s">
        <v>40</v>
      </c>
      <c r="C32" s="7">
        <f>D32*C7</f>
        <v>97.44</v>
      </c>
      <c r="D32" s="2">
        <v>0.03</v>
      </c>
      <c r="E32" s="7">
        <f>C32*12</f>
        <v>1169.28</v>
      </c>
    </row>
    <row r="33" spans="1:5" ht="15.6" x14ac:dyDescent="0.3">
      <c r="A33" s="57" t="s">
        <v>39</v>
      </c>
      <c r="B33" s="2" t="s">
        <v>41</v>
      </c>
      <c r="C33" s="7">
        <f>D33*C7</f>
        <v>2176.1600000000003</v>
      </c>
      <c r="D33" s="2">
        <v>0.67</v>
      </c>
      <c r="E33" s="7">
        <f>C33*12</f>
        <v>26113.920000000006</v>
      </c>
    </row>
    <row r="34" spans="1:5" ht="31.2" x14ac:dyDescent="0.3">
      <c r="A34" s="26" t="s">
        <v>42</v>
      </c>
      <c r="B34" s="18" t="s">
        <v>43</v>
      </c>
      <c r="C34" s="22">
        <f>SUM(C35:C40)</f>
        <v>9242.2933333333312</v>
      </c>
      <c r="D34" s="22">
        <f>SUM(D35:D40)</f>
        <v>2.845533661740558</v>
      </c>
      <c r="E34" s="22">
        <f>SUM(E35:E40)</f>
        <v>110907.51999999999</v>
      </c>
    </row>
    <row r="35" spans="1:5" ht="27" x14ac:dyDescent="0.3">
      <c r="A35" s="24" t="s">
        <v>44</v>
      </c>
      <c r="B35" s="12" t="s">
        <v>73</v>
      </c>
      <c r="C35" s="7">
        <f>D35*C7</f>
        <v>8217.4399999999987</v>
      </c>
      <c r="D35" s="2">
        <v>2.5299999999999998</v>
      </c>
      <c r="E35" s="7">
        <f>C35*12</f>
        <v>98609.279999999984</v>
      </c>
    </row>
    <row r="36" spans="1:5" ht="15.6" x14ac:dyDescent="0.3">
      <c r="A36" s="24" t="s">
        <v>46</v>
      </c>
      <c r="B36" s="58" t="s">
        <v>45</v>
      </c>
      <c r="C36" s="54">
        <f>D36*C7</f>
        <v>292.32</v>
      </c>
      <c r="D36" s="55">
        <v>0.09</v>
      </c>
      <c r="E36" s="7">
        <f t="shared" ref="E36:E40" si="1">C36*12</f>
        <v>3507.84</v>
      </c>
    </row>
    <row r="37" spans="1:5" ht="15.6" x14ac:dyDescent="0.3">
      <c r="A37" s="24" t="s">
        <v>47</v>
      </c>
      <c r="B37" s="55" t="s">
        <v>48</v>
      </c>
      <c r="C37" s="54">
        <f>D37*C7</f>
        <v>64.960000000000008</v>
      </c>
      <c r="D37" s="55">
        <v>0.02</v>
      </c>
      <c r="E37" s="7">
        <f t="shared" si="1"/>
        <v>779.5200000000001</v>
      </c>
    </row>
    <row r="38" spans="1:5" ht="15.6" x14ac:dyDescent="0.3">
      <c r="A38" s="24" t="s">
        <v>49</v>
      </c>
      <c r="B38" s="55" t="s">
        <v>50</v>
      </c>
      <c r="C38" s="54">
        <f>D38*C7</f>
        <v>97.44</v>
      </c>
      <c r="D38" s="55">
        <v>0.03</v>
      </c>
      <c r="E38" s="7">
        <f t="shared" si="1"/>
        <v>1169.28</v>
      </c>
    </row>
    <row r="39" spans="1:5" ht="15.6" x14ac:dyDescent="0.3">
      <c r="A39" s="57" t="s">
        <v>51</v>
      </c>
      <c r="B39" s="55" t="s">
        <v>52</v>
      </c>
      <c r="C39" s="59">
        <f>E39/12</f>
        <v>245.33333333333334</v>
      </c>
      <c r="D39" s="59">
        <f>C39/C7</f>
        <v>7.5533661740558297E-2</v>
      </c>
      <c r="E39" s="37">
        <f>C8*4*2</f>
        <v>2944</v>
      </c>
    </row>
    <row r="40" spans="1:5" ht="15.6" x14ac:dyDescent="0.3">
      <c r="A40" s="24" t="s">
        <v>53</v>
      </c>
      <c r="B40" s="55" t="s">
        <v>30</v>
      </c>
      <c r="C40" s="54">
        <f>D40*C7</f>
        <v>324.8</v>
      </c>
      <c r="D40" s="55">
        <v>0.1</v>
      </c>
      <c r="E40" s="7">
        <f t="shared" si="1"/>
        <v>3897.6000000000004</v>
      </c>
    </row>
    <row r="41" spans="1:5" ht="17.399999999999999" x14ac:dyDescent="0.3">
      <c r="A41" s="26" t="s">
        <v>68</v>
      </c>
      <c r="B41" s="16" t="s">
        <v>59</v>
      </c>
      <c r="C41" s="22">
        <f>D41*C7</f>
        <v>2027.1980000000021</v>
      </c>
      <c r="D41" s="22">
        <f>C9-D16-D23</f>
        <v>0.62413731527093663</v>
      </c>
      <c r="E41" s="22">
        <f>C41*12</f>
        <v>24326.376000000026</v>
      </c>
    </row>
    <row r="42" spans="1:5" ht="15.6" x14ac:dyDescent="0.3">
      <c r="A42" s="38" t="s">
        <v>77</v>
      </c>
      <c r="B42" s="55" t="s">
        <v>78</v>
      </c>
      <c r="C42" s="54">
        <f>E42/12</f>
        <v>764.38416666666672</v>
      </c>
      <c r="D42" s="54">
        <f>C42/C7</f>
        <v>0.23533995279146142</v>
      </c>
      <c r="E42" s="55">
        <v>9172.61</v>
      </c>
    </row>
    <row r="43" spans="1:5" ht="15.6" x14ac:dyDescent="0.3">
      <c r="A43" s="24" t="s">
        <v>79</v>
      </c>
      <c r="B43" s="2" t="s">
        <v>144</v>
      </c>
      <c r="C43" s="7">
        <f>E43/12</f>
        <v>1262.8141666666668</v>
      </c>
      <c r="D43" s="7">
        <f>C43/C7</f>
        <v>0.38879746510673241</v>
      </c>
      <c r="E43" s="55">
        <v>15153.77</v>
      </c>
    </row>
    <row r="44" spans="1:5" ht="31.2" x14ac:dyDescent="0.3">
      <c r="A44" s="85" t="s">
        <v>80</v>
      </c>
      <c r="B44" s="86" t="s">
        <v>153</v>
      </c>
      <c r="C44" s="87">
        <f>E44/12</f>
        <v>0</v>
      </c>
      <c r="D44" s="87">
        <f>C44/C7</f>
        <v>0</v>
      </c>
      <c r="E44" s="88">
        <v>0</v>
      </c>
    </row>
    <row r="45" spans="1:5" ht="15.6" x14ac:dyDescent="0.3">
      <c r="A45" s="24" t="s">
        <v>81</v>
      </c>
      <c r="B45" s="2"/>
      <c r="C45" s="7">
        <f t="shared" ref="C45:C50" si="2">E45/12</f>
        <v>0</v>
      </c>
      <c r="D45" s="7">
        <f>C45/C7</f>
        <v>0</v>
      </c>
      <c r="E45" s="55"/>
    </row>
    <row r="46" spans="1:5" ht="15.6" x14ac:dyDescent="0.3">
      <c r="A46" s="24" t="s">
        <v>82</v>
      </c>
      <c r="B46" s="2"/>
      <c r="C46" s="7">
        <f>E46/12</f>
        <v>0</v>
      </c>
      <c r="D46" s="7">
        <f>C46/C7</f>
        <v>0</v>
      </c>
      <c r="E46" s="55"/>
    </row>
    <row r="47" spans="1:5" ht="15.6" x14ac:dyDescent="0.3">
      <c r="A47" s="24" t="s">
        <v>83</v>
      </c>
      <c r="B47" s="2"/>
      <c r="C47" s="7">
        <f t="shared" si="2"/>
        <v>0</v>
      </c>
      <c r="D47" s="7">
        <f>C47/C7</f>
        <v>0</v>
      </c>
      <c r="E47" s="55"/>
    </row>
    <row r="48" spans="1:5" ht="15.6" x14ac:dyDescent="0.3">
      <c r="A48" s="24" t="s">
        <v>132</v>
      </c>
      <c r="B48" s="2"/>
      <c r="C48" s="7">
        <f t="shared" si="2"/>
        <v>0</v>
      </c>
      <c r="D48" s="7">
        <f>C48/C7</f>
        <v>0</v>
      </c>
      <c r="E48" s="55"/>
    </row>
    <row r="49" spans="1:5" ht="15.6" x14ac:dyDescent="0.3">
      <c r="A49" s="38" t="s">
        <v>133</v>
      </c>
      <c r="B49" s="2"/>
      <c r="C49" s="7">
        <f t="shared" si="2"/>
        <v>0</v>
      </c>
      <c r="D49" s="7">
        <f>C49/C7</f>
        <v>0</v>
      </c>
      <c r="E49" s="55"/>
    </row>
    <row r="50" spans="1:5" ht="15.6" x14ac:dyDescent="0.3">
      <c r="A50" s="24" t="s">
        <v>134</v>
      </c>
      <c r="B50" s="2"/>
      <c r="C50" s="7">
        <f t="shared" si="2"/>
        <v>0</v>
      </c>
      <c r="D50" s="7">
        <f>C50/C7</f>
        <v>0</v>
      </c>
      <c r="E50" s="55"/>
    </row>
    <row r="51" spans="1:5" ht="15.6" x14ac:dyDescent="0.3">
      <c r="A51" s="24"/>
      <c r="B51" s="2"/>
      <c r="C51" s="7"/>
      <c r="D51" s="7"/>
      <c r="E51" s="55"/>
    </row>
    <row r="52" spans="1:5" ht="15.6" x14ac:dyDescent="0.3">
      <c r="A52" s="24"/>
      <c r="B52" s="2"/>
      <c r="C52" s="7"/>
      <c r="D52" s="7"/>
      <c r="E52" s="55"/>
    </row>
    <row r="53" spans="1:5" ht="15.6" x14ac:dyDescent="0.3">
      <c r="A53" s="24"/>
      <c r="B53" s="2"/>
      <c r="C53" s="7"/>
      <c r="D53" s="7"/>
      <c r="E53" s="55"/>
    </row>
    <row r="54" spans="1:5" ht="15.6" x14ac:dyDescent="0.3">
      <c r="A54" s="24"/>
      <c r="B54" s="2"/>
      <c r="C54" s="7"/>
      <c r="D54" s="7"/>
      <c r="E54" s="55"/>
    </row>
    <row r="55" spans="1:5" ht="15.6" x14ac:dyDescent="0.3">
      <c r="A55" s="24"/>
      <c r="B55" s="2"/>
      <c r="C55" s="7"/>
      <c r="D55" s="7"/>
      <c r="E55" s="55"/>
    </row>
    <row r="56" spans="1:5" ht="15.6" x14ac:dyDescent="0.3">
      <c r="A56" s="24"/>
      <c r="B56" s="40" t="s">
        <v>70</v>
      </c>
      <c r="C56" s="41">
        <f>SUM(C42:C55)</f>
        <v>2027.1983333333335</v>
      </c>
      <c r="D56" s="41">
        <f>SUM(D42:D55)</f>
        <v>0.62413741789819377</v>
      </c>
      <c r="E56" s="40">
        <f>SUM(E42:E55)</f>
        <v>24326.38</v>
      </c>
    </row>
    <row r="57" spans="1:5" ht="15.6" x14ac:dyDescent="0.3">
      <c r="A57" s="31"/>
      <c r="B57" s="32" t="s">
        <v>60</v>
      </c>
      <c r="C57" s="30">
        <f>D57*C7</f>
        <v>30856</v>
      </c>
      <c r="D57" s="30">
        <f>D41+D23+D16</f>
        <v>9.5</v>
      </c>
      <c r="E57" s="30">
        <f>C57*12</f>
        <v>370272</v>
      </c>
    </row>
    <row r="58" spans="1:5" ht="15.6" x14ac:dyDescent="0.3">
      <c r="A58" s="31" t="s">
        <v>69</v>
      </c>
      <c r="B58" s="16" t="s">
        <v>65</v>
      </c>
      <c r="C58" s="16">
        <f>D58*C7</f>
        <v>1166.6666666666667</v>
      </c>
      <c r="D58" s="22">
        <f>C10/C7/12</f>
        <v>0.35919540229885061</v>
      </c>
      <c r="E58" s="16">
        <f>C58*12</f>
        <v>14000</v>
      </c>
    </row>
    <row r="59" spans="1:5" ht="15.6" x14ac:dyDescent="0.3">
      <c r="A59" s="24" t="s">
        <v>74</v>
      </c>
      <c r="B59" s="55" t="s">
        <v>72</v>
      </c>
      <c r="C59" s="76">
        <f>E59/12</f>
        <v>1166.6666666666667</v>
      </c>
      <c r="D59" s="54">
        <f>C59/C7</f>
        <v>0.35919540229885061</v>
      </c>
      <c r="E59" s="55">
        <v>14000</v>
      </c>
    </row>
    <row r="60" spans="1:5" ht="15.6" x14ac:dyDescent="0.3">
      <c r="A60" s="24" t="s">
        <v>75</v>
      </c>
      <c r="B60" s="55"/>
      <c r="C60" s="76"/>
      <c r="D60" s="54"/>
      <c r="E60" s="55"/>
    </row>
    <row r="61" spans="1:5" ht="15.6" x14ac:dyDescent="0.3">
      <c r="A61" s="24" t="s">
        <v>96</v>
      </c>
      <c r="B61" s="55"/>
      <c r="C61" s="76"/>
      <c r="D61" s="54"/>
      <c r="E61" s="55"/>
    </row>
    <row r="62" spans="1:5" ht="15.6" x14ac:dyDescent="0.3">
      <c r="A62" s="4"/>
      <c r="B62" s="55"/>
      <c r="C62" s="76"/>
      <c r="D62" s="54"/>
      <c r="E62" s="55"/>
    </row>
    <row r="63" spans="1:5" ht="15.6" x14ac:dyDescent="0.3">
      <c r="A63" s="4"/>
      <c r="B63" s="42" t="s">
        <v>70</v>
      </c>
      <c r="C63" s="42"/>
      <c r="D63" s="43">
        <f>SUM(D59:D62)</f>
        <v>0.35919540229885061</v>
      </c>
      <c r="E63" s="42"/>
    </row>
    <row r="64" spans="1:5" x14ac:dyDescent="0.3">
      <c r="A64" s="119" t="s">
        <v>166</v>
      </c>
      <c r="B64" s="120"/>
      <c r="C64" s="120"/>
      <c r="D64" s="120"/>
      <c r="E64" s="121"/>
    </row>
    <row r="65" spans="1:5" x14ac:dyDescent="0.3">
      <c r="A65" s="122"/>
      <c r="B65" s="123"/>
      <c r="C65" s="123"/>
      <c r="D65" s="123"/>
      <c r="E65" s="124"/>
    </row>
    <row r="66" spans="1:5" x14ac:dyDescent="0.3">
      <c r="A66" s="122"/>
      <c r="B66" s="123"/>
      <c r="C66" s="123"/>
      <c r="D66" s="123"/>
      <c r="E66" s="124"/>
    </row>
    <row r="67" spans="1:5" x14ac:dyDescent="0.3">
      <c r="A67" s="125"/>
      <c r="B67" s="126"/>
      <c r="C67" s="126"/>
      <c r="D67" s="126"/>
      <c r="E67" s="127"/>
    </row>
    <row r="68" spans="1:5" ht="40.5" customHeight="1" x14ac:dyDescent="0.3">
      <c r="A68" s="114" t="s">
        <v>167</v>
      </c>
      <c r="B68" s="115"/>
      <c r="C68" s="3"/>
      <c r="D68" s="3"/>
      <c r="E68" s="3"/>
    </row>
  </sheetData>
  <mergeCells count="18">
    <mergeCell ref="A10:B10"/>
    <mergeCell ref="C10:E10"/>
    <mergeCell ref="A64:E67"/>
    <mergeCell ref="A68:B68"/>
    <mergeCell ref="A7:B7"/>
    <mergeCell ref="C7:E7"/>
    <mergeCell ref="A13:B13"/>
    <mergeCell ref="C13:E13"/>
    <mergeCell ref="A14:E14"/>
    <mergeCell ref="A8:B8"/>
    <mergeCell ref="C8:E8"/>
    <mergeCell ref="A9:B9"/>
    <mergeCell ref="C9:E9"/>
    <mergeCell ref="A2:E4"/>
    <mergeCell ref="A5:B5"/>
    <mergeCell ref="C5:E5"/>
    <mergeCell ref="A6:B6"/>
    <mergeCell ref="C6:E6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68"/>
  <sheetViews>
    <sheetView topLeftCell="A28" workbookViewId="0">
      <selection activeCell="A45" sqref="A45:XFD55"/>
    </sheetView>
  </sheetViews>
  <sheetFormatPr defaultRowHeight="13.8" x14ac:dyDescent="0.3"/>
  <cols>
    <col min="1" max="1" width="8.5546875" style="29" customWidth="1"/>
    <col min="2" max="2" width="51.88671875" customWidth="1"/>
    <col min="3" max="3" width="11.6640625" customWidth="1"/>
    <col min="4" max="4" width="11.88671875" customWidth="1"/>
    <col min="5" max="5" width="12.33203125" customWidth="1"/>
  </cols>
  <sheetData>
    <row r="2" spans="1:5" x14ac:dyDescent="0.3">
      <c r="A2" s="102" t="s">
        <v>110</v>
      </c>
      <c r="B2" s="102"/>
      <c r="C2" s="102"/>
      <c r="D2" s="102"/>
      <c r="E2" s="102"/>
    </row>
    <row r="3" spans="1:5" x14ac:dyDescent="0.3">
      <c r="A3" s="102"/>
      <c r="B3" s="102"/>
      <c r="C3" s="102"/>
      <c r="D3" s="102"/>
      <c r="E3" s="102"/>
    </row>
    <row r="4" spans="1:5" x14ac:dyDescent="0.3">
      <c r="A4" s="103"/>
      <c r="B4" s="103"/>
      <c r="C4" s="103"/>
      <c r="D4" s="103"/>
      <c r="E4" s="103"/>
    </row>
    <row r="5" spans="1:5" ht="15.6" x14ac:dyDescent="0.3">
      <c r="A5" s="97" t="s">
        <v>0</v>
      </c>
      <c r="B5" s="98"/>
      <c r="C5" s="97" t="s">
        <v>1</v>
      </c>
      <c r="D5" s="104"/>
      <c r="E5" s="98"/>
    </row>
    <row r="6" spans="1:5" ht="15.6" x14ac:dyDescent="0.3">
      <c r="A6" s="97" t="s">
        <v>2</v>
      </c>
      <c r="B6" s="98"/>
      <c r="C6" s="99">
        <v>1</v>
      </c>
      <c r="D6" s="100"/>
      <c r="E6" s="101"/>
    </row>
    <row r="7" spans="1:5" ht="15.6" x14ac:dyDescent="0.3">
      <c r="A7" s="97" t="s">
        <v>3</v>
      </c>
      <c r="B7" s="98"/>
      <c r="C7" s="99">
        <v>3252.5</v>
      </c>
      <c r="D7" s="100"/>
      <c r="E7" s="101"/>
    </row>
    <row r="8" spans="1:5" ht="15.6" x14ac:dyDescent="0.3">
      <c r="A8" s="97" t="s">
        <v>4</v>
      </c>
      <c r="B8" s="98"/>
      <c r="C8" s="99">
        <v>368</v>
      </c>
      <c r="D8" s="100"/>
      <c r="E8" s="101"/>
    </row>
    <row r="9" spans="1:5" ht="15.6" x14ac:dyDescent="0.3">
      <c r="A9" s="97" t="s">
        <v>5</v>
      </c>
      <c r="B9" s="98"/>
      <c r="C9" s="99">
        <v>10</v>
      </c>
      <c r="D9" s="100"/>
      <c r="E9" s="101"/>
    </row>
    <row r="10" spans="1:5" ht="15.6" x14ac:dyDescent="0.3">
      <c r="A10" s="97" t="s">
        <v>6</v>
      </c>
      <c r="B10" s="98"/>
      <c r="C10" s="99">
        <v>25000</v>
      </c>
      <c r="D10" s="100"/>
      <c r="E10" s="101"/>
    </row>
    <row r="11" spans="1:5" ht="15.6" x14ac:dyDescent="0.3">
      <c r="A11" s="50"/>
      <c r="B11" s="51" t="s">
        <v>56</v>
      </c>
      <c r="C11" s="50"/>
      <c r="D11" s="52">
        <f>C7*C9</f>
        <v>32525</v>
      </c>
      <c r="E11" s="51"/>
    </row>
    <row r="12" spans="1:5" ht="15.6" x14ac:dyDescent="0.3">
      <c r="A12" s="50"/>
      <c r="B12" s="51" t="s">
        <v>64</v>
      </c>
      <c r="C12" s="50"/>
      <c r="D12" s="72">
        <f>D11+(C10/12)</f>
        <v>34608.333333333336</v>
      </c>
      <c r="E12" s="51"/>
    </row>
    <row r="13" spans="1:5" ht="15.6" x14ac:dyDescent="0.3">
      <c r="A13" s="97" t="s">
        <v>7</v>
      </c>
      <c r="B13" s="98"/>
      <c r="C13" s="97">
        <f>(C7*C9*12)+C10</f>
        <v>415300</v>
      </c>
      <c r="D13" s="104"/>
      <c r="E13" s="98"/>
    </row>
    <row r="14" spans="1:5" ht="15.6" x14ac:dyDescent="0.3">
      <c r="A14" s="97" t="s">
        <v>8</v>
      </c>
      <c r="B14" s="104"/>
      <c r="C14" s="104"/>
      <c r="D14" s="104"/>
      <c r="E14" s="98"/>
    </row>
    <row r="15" spans="1:5" ht="46.8" x14ac:dyDescent="0.3">
      <c r="A15" s="4"/>
      <c r="B15" s="10" t="s">
        <v>12</v>
      </c>
      <c r="C15" s="10" t="s">
        <v>13</v>
      </c>
      <c r="D15" s="11" t="s">
        <v>14</v>
      </c>
      <c r="E15" s="10" t="s">
        <v>15</v>
      </c>
    </row>
    <row r="16" spans="1:5" ht="18" x14ac:dyDescent="0.35">
      <c r="A16" s="23">
        <v>1</v>
      </c>
      <c r="B16" s="14" t="s">
        <v>9</v>
      </c>
      <c r="C16" s="21">
        <f>C17+C18</f>
        <v>9347.7250000000022</v>
      </c>
      <c r="D16" s="21">
        <f>D17+D18</f>
        <v>2.9804176274660517</v>
      </c>
      <c r="E16" s="21">
        <f>E17+E18</f>
        <v>112172.70000000001</v>
      </c>
    </row>
    <row r="17" spans="1:5" ht="15.6" x14ac:dyDescent="0.3">
      <c r="A17" s="24" t="s">
        <v>10</v>
      </c>
      <c r="B17" s="8" t="s">
        <v>11</v>
      </c>
      <c r="C17" s="54">
        <f>(D11*13.8%)+(C10*13.8%/12)</f>
        <v>4775.9500000000007</v>
      </c>
      <c r="D17" s="7">
        <f>C17/C7</f>
        <v>1.4683935434281323</v>
      </c>
      <c r="E17" s="7">
        <f>C17*12</f>
        <v>57311.400000000009</v>
      </c>
    </row>
    <row r="18" spans="1:5" ht="15.6" x14ac:dyDescent="0.3">
      <c r="A18" s="4" t="s">
        <v>16</v>
      </c>
      <c r="B18" s="8" t="s">
        <v>17</v>
      </c>
      <c r="C18" s="20">
        <f>SUM(C19:C21)</f>
        <v>4571.7750000000005</v>
      </c>
      <c r="D18" s="20">
        <f>SUM(D19:D22)</f>
        <v>1.5120240840379195</v>
      </c>
      <c r="E18" s="20">
        <f t="shared" ref="E18" si="0">SUM(E19:E21)</f>
        <v>54861.3</v>
      </c>
    </row>
    <row r="19" spans="1:5" ht="15.6" x14ac:dyDescent="0.3">
      <c r="A19" s="24" t="s">
        <v>18</v>
      </c>
      <c r="B19" s="8" t="s">
        <v>19</v>
      </c>
      <c r="C19" s="7">
        <f>E19/12</f>
        <v>2587.75</v>
      </c>
      <c r="D19" s="7">
        <f>C19/C7</f>
        <v>0.79561875480399691</v>
      </c>
      <c r="E19" s="54">
        <v>31053</v>
      </c>
    </row>
    <row r="20" spans="1:5" ht="42" x14ac:dyDescent="0.3">
      <c r="A20" s="24" t="s">
        <v>20</v>
      </c>
      <c r="B20" s="13" t="s">
        <v>21</v>
      </c>
      <c r="C20" s="7">
        <f>D20*C7</f>
        <v>878.17500000000007</v>
      </c>
      <c r="D20" s="2">
        <v>0.27</v>
      </c>
      <c r="E20" s="7">
        <f>C20*12</f>
        <v>10538.1</v>
      </c>
    </row>
    <row r="21" spans="1:5" ht="15.6" x14ac:dyDescent="0.3">
      <c r="A21" s="24" t="s">
        <v>22</v>
      </c>
      <c r="B21" s="8" t="s">
        <v>23</v>
      </c>
      <c r="C21" s="7">
        <f>D11*3.4%</f>
        <v>1105.8500000000001</v>
      </c>
      <c r="D21" s="7">
        <f>C21/C7</f>
        <v>0.34</v>
      </c>
      <c r="E21" s="7">
        <f>C21*12</f>
        <v>13270.2</v>
      </c>
    </row>
    <row r="22" spans="1:5" ht="15.6" x14ac:dyDescent="0.3">
      <c r="A22" s="24" t="s">
        <v>66</v>
      </c>
      <c r="B22" s="8" t="s">
        <v>67</v>
      </c>
      <c r="C22" s="7">
        <f>E22/12</f>
        <v>346.08333333333331</v>
      </c>
      <c r="D22" s="7">
        <f>C22/C7</f>
        <v>0.10640532923392262</v>
      </c>
      <c r="E22" s="7">
        <f>C13*1%</f>
        <v>4153</v>
      </c>
    </row>
    <row r="23" spans="1:5" ht="18" x14ac:dyDescent="0.35">
      <c r="A23" s="25" t="s">
        <v>24</v>
      </c>
      <c r="B23" s="14" t="s">
        <v>25</v>
      </c>
      <c r="C23" s="21">
        <f>C24+C28+C34</f>
        <v>19446.48</v>
      </c>
      <c r="D23" s="21">
        <f>D24+D28+D34</f>
        <v>5.9789331283627973</v>
      </c>
      <c r="E23" s="21">
        <f>E24+E28+E34</f>
        <v>233357.76</v>
      </c>
    </row>
    <row r="24" spans="1:5" ht="17.399999999999999" x14ac:dyDescent="0.3">
      <c r="A24" s="26" t="s">
        <v>26</v>
      </c>
      <c r="B24" s="15" t="s">
        <v>27</v>
      </c>
      <c r="C24" s="22">
        <f>SUM(C25:C27)</f>
        <v>755.37166666666656</v>
      </c>
      <c r="D24" s="22">
        <f>SUM(D25:D27)</f>
        <v>0.23224340251088904</v>
      </c>
      <c r="E24" s="22">
        <f>SUM(E25:E27)</f>
        <v>9064.4599999999991</v>
      </c>
    </row>
    <row r="25" spans="1:5" ht="15.6" x14ac:dyDescent="0.3">
      <c r="A25" s="24" t="s">
        <v>28</v>
      </c>
      <c r="B25" s="13" t="s">
        <v>61</v>
      </c>
      <c r="C25" s="7">
        <f>D25*C7</f>
        <v>585.44999999999993</v>
      </c>
      <c r="D25" s="2">
        <v>0.18</v>
      </c>
      <c r="E25" s="7">
        <f>C25*12</f>
        <v>7025.4</v>
      </c>
    </row>
    <row r="26" spans="1:5" ht="15.6" x14ac:dyDescent="0.3">
      <c r="A26" s="24" t="s">
        <v>29</v>
      </c>
      <c r="B26" s="2" t="s">
        <v>30</v>
      </c>
      <c r="C26" s="7">
        <f>D26*C7</f>
        <v>162.625</v>
      </c>
      <c r="D26" s="2">
        <v>0.05</v>
      </c>
      <c r="E26" s="7">
        <f>C26*12</f>
        <v>1951.5</v>
      </c>
    </row>
    <row r="27" spans="1:5" ht="15.6" x14ac:dyDescent="0.3">
      <c r="A27" s="66" t="s">
        <v>31</v>
      </c>
      <c r="B27" s="55" t="s">
        <v>57</v>
      </c>
      <c r="C27" s="54">
        <f>E27/12</f>
        <v>7.2966666666666669</v>
      </c>
      <c r="D27" s="56">
        <f>C27/C7</f>
        <v>2.2434025108890596E-3</v>
      </c>
      <c r="E27" s="55">
        <f>87.56*1</f>
        <v>87.56</v>
      </c>
    </row>
    <row r="28" spans="1:5" ht="17.399999999999999" x14ac:dyDescent="0.3">
      <c r="A28" s="26" t="s">
        <v>32</v>
      </c>
      <c r="B28" s="17" t="s">
        <v>33</v>
      </c>
      <c r="C28" s="22">
        <f>SUM(C29:C33)</f>
        <v>9436.35</v>
      </c>
      <c r="D28" s="22">
        <f>SUM(D29:D33)</f>
        <v>2.9012605687932358</v>
      </c>
      <c r="E28" s="22">
        <f>SUM(E29:E33)</f>
        <v>113236.2</v>
      </c>
    </row>
    <row r="29" spans="1:5" ht="15.6" x14ac:dyDescent="0.3">
      <c r="A29" s="24" t="s">
        <v>34</v>
      </c>
      <c r="B29" s="13" t="s">
        <v>62</v>
      </c>
      <c r="C29" s="7">
        <f>D29*C7</f>
        <v>5691.875</v>
      </c>
      <c r="D29" s="2">
        <v>1.75</v>
      </c>
      <c r="E29" s="7">
        <f>C29*12</f>
        <v>68302.5</v>
      </c>
    </row>
    <row r="30" spans="1:5" ht="15.6" x14ac:dyDescent="0.3">
      <c r="A30" s="57" t="s">
        <v>35</v>
      </c>
      <c r="B30" s="55" t="s">
        <v>36</v>
      </c>
      <c r="C30" s="55">
        <v>1175</v>
      </c>
      <c r="D30" s="54">
        <f>C30/C7</f>
        <v>0.36126056879323598</v>
      </c>
      <c r="E30" s="2">
        <f>C30*12</f>
        <v>14100</v>
      </c>
    </row>
    <row r="31" spans="1:5" ht="15.6" x14ac:dyDescent="0.3">
      <c r="A31" s="57" t="s">
        <v>37</v>
      </c>
      <c r="B31" s="2" t="s">
        <v>30</v>
      </c>
      <c r="C31" s="7">
        <f>D31*C7</f>
        <v>292.72499999999997</v>
      </c>
      <c r="D31" s="2">
        <v>0.09</v>
      </c>
      <c r="E31" s="7">
        <f>C31*12</f>
        <v>3512.7</v>
      </c>
    </row>
    <row r="32" spans="1:5" ht="15.6" x14ac:dyDescent="0.3">
      <c r="A32" s="57" t="s">
        <v>38</v>
      </c>
      <c r="B32" s="2" t="s">
        <v>40</v>
      </c>
      <c r="C32" s="7">
        <f>D32*C7</f>
        <v>97.575000000000003</v>
      </c>
      <c r="D32" s="2">
        <v>0.03</v>
      </c>
      <c r="E32" s="7">
        <f>C32*12</f>
        <v>1170.9000000000001</v>
      </c>
    </row>
    <row r="33" spans="1:5" ht="15.6" x14ac:dyDescent="0.3">
      <c r="A33" s="57" t="s">
        <v>39</v>
      </c>
      <c r="B33" s="2" t="s">
        <v>41</v>
      </c>
      <c r="C33" s="7">
        <f>D33*C7</f>
        <v>2179.1750000000002</v>
      </c>
      <c r="D33" s="2">
        <v>0.67</v>
      </c>
      <c r="E33" s="7">
        <f>C33*12</f>
        <v>26150.100000000002</v>
      </c>
    </row>
    <row r="34" spans="1:5" ht="31.2" x14ac:dyDescent="0.3">
      <c r="A34" s="26" t="s">
        <v>42</v>
      </c>
      <c r="B34" s="18" t="s">
        <v>43</v>
      </c>
      <c r="C34" s="22">
        <f>SUM(C35:C40)</f>
        <v>9254.7583333333332</v>
      </c>
      <c r="D34" s="22">
        <f>SUM(D35:D40)</f>
        <v>2.8454291570586725</v>
      </c>
      <c r="E34" s="22">
        <f>SUM(E35:E40)</f>
        <v>111057.09999999999</v>
      </c>
    </row>
    <row r="35" spans="1:5" ht="27" x14ac:dyDescent="0.3">
      <c r="A35" s="24" t="s">
        <v>44</v>
      </c>
      <c r="B35" s="12" t="s">
        <v>73</v>
      </c>
      <c r="C35" s="7">
        <f>D35*C7</f>
        <v>8228.8249999999989</v>
      </c>
      <c r="D35" s="2">
        <v>2.5299999999999998</v>
      </c>
      <c r="E35" s="7">
        <f>C35*12</f>
        <v>98745.9</v>
      </c>
    </row>
    <row r="36" spans="1:5" ht="15.6" x14ac:dyDescent="0.3">
      <c r="A36" s="24" t="s">
        <v>46</v>
      </c>
      <c r="B36" s="58" t="s">
        <v>45</v>
      </c>
      <c r="C36" s="54">
        <f>D36*C7</f>
        <v>292.72499999999997</v>
      </c>
      <c r="D36" s="55">
        <v>0.09</v>
      </c>
      <c r="E36" s="54">
        <f t="shared" ref="E36:E40" si="1">C36*12</f>
        <v>3512.7</v>
      </c>
    </row>
    <row r="37" spans="1:5" ht="15.6" x14ac:dyDescent="0.3">
      <c r="A37" s="24" t="s">
        <v>47</v>
      </c>
      <c r="B37" s="55" t="s">
        <v>48</v>
      </c>
      <c r="C37" s="54">
        <f>D37*C7</f>
        <v>65.05</v>
      </c>
      <c r="D37" s="55">
        <v>0.02</v>
      </c>
      <c r="E37" s="54">
        <f t="shared" si="1"/>
        <v>780.59999999999991</v>
      </c>
    </row>
    <row r="38" spans="1:5" ht="15.6" x14ac:dyDescent="0.3">
      <c r="A38" s="24" t="s">
        <v>49</v>
      </c>
      <c r="B38" s="55" t="s">
        <v>50</v>
      </c>
      <c r="C38" s="54">
        <f>D38*C7</f>
        <v>97.575000000000003</v>
      </c>
      <c r="D38" s="55">
        <v>0.03</v>
      </c>
      <c r="E38" s="54">
        <f t="shared" si="1"/>
        <v>1170.9000000000001</v>
      </c>
    </row>
    <row r="39" spans="1:5" ht="15.6" x14ac:dyDescent="0.3">
      <c r="A39" s="57" t="s">
        <v>51</v>
      </c>
      <c r="B39" s="55" t="s">
        <v>52</v>
      </c>
      <c r="C39" s="59">
        <f>E39/12</f>
        <v>245.33333333333334</v>
      </c>
      <c r="D39" s="59">
        <f>C39/C7</f>
        <v>7.5429157058672813E-2</v>
      </c>
      <c r="E39" s="59">
        <f>C8*4*2</f>
        <v>2944</v>
      </c>
    </row>
    <row r="40" spans="1:5" ht="15.6" x14ac:dyDescent="0.3">
      <c r="A40" s="24" t="s">
        <v>53</v>
      </c>
      <c r="B40" s="2" t="s">
        <v>30</v>
      </c>
      <c r="C40" s="7">
        <f>D40*C7</f>
        <v>325.25</v>
      </c>
      <c r="D40" s="2">
        <v>0.1</v>
      </c>
      <c r="E40" s="7">
        <f t="shared" si="1"/>
        <v>3903</v>
      </c>
    </row>
    <row r="41" spans="1:5" ht="17.399999999999999" x14ac:dyDescent="0.3">
      <c r="A41" s="26" t="s">
        <v>68</v>
      </c>
      <c r="B41" s="16" t="s">
        <v>59</v>
      </c>
      <c r="C41" s="22">
        <f>D41*C7</f>
        <v>3384.7116666666689</v>
      </c>
      <c r="D41" s="22">
        <f>C9-D16-D23</f>
        <v>1.040649244171151</v>
      </c>
      <c r="E41" s="22">
        <f>C41*12</f>
        <v>40616.540000000023</v>
      </c>
    </row>
    <row r="42" spans="1:5" ht="15.6" x14ac:dyDescent="0.3">
      <c r="A42" s="84" t="s">
        <v>77</v>
      </c>
      <c r="B42" s="71" t="s">
        <v>78</v>
      </c>
      <c r="C42" s="53">
        <f>E42/12</f>
        <v>2121.8975</v>
      </c>
      <c r="D42" s="53">
        <f>C42/C7</f>
        <v>0.65238970023059184</v>
      </c>
      <c r="E42" s="71">
        <v>25462.77</v>
      </c>
    </row>
    <row r="43" spans="1:5" ht="15.6" x14ac:dyDescent="0.3">
      <c r="A43" s="24" t="s">
        <v>79</v>
      </c>
      <c r="B43" s="2" t="s">
        <v>144</v>
      </c>
      <c r="C43" s="7">
        <f>E43/12</f>
        <v>1262.8141666666668</v>
      </c>
      <c r="D43" s="7">
        <f>C43/C7</f>
        <v>0.38825954394055856</v>
      </c>
      <c r="E43" s="55">
        <v>15153.77</v>
      </c>
    </row>
    <row r="44" spans="1:5" ht="31.2" x14ac:dyDescent="0.3">
      <c r="A44" s="85" t="s">
        <v>80</v>
      </c>
      <c r="B44" s="86" t="s">
        <v>153</v>
      </c>
      <c r="C44" s="87">
        <f>E44/12</f>
        <v>0</v>
      </c>
      <c r="D44" s="87">
        <f>C44/C7</f>
        <v>0</v>
      </c>
      <c r="E44" s="88">
        <v>0</v>
      </c>
    </row>
    <row r="45" spans="1:5" ht="15.6" x14ac:dyDescent="0.3">
      <c r="A45" s="24" t="s">
        <v>81</v>
      </c>
      <c r="B45" s="2"/>
      <c r="C45" s="7">
        <f t="shared" ref="C45:C50" si="2">E45/12</f>
        <v>0</v>
      </c>
      <c r="D45" s="7">
        <f>C45/C7</f>
        <v>0</v>
      </c>
      <c r="E45" s="55"/>
    </row>
    <row r="46" spans="1:5" ht="15.6" x14ac:dyDescent="0.3">
      <c r="A46" s="24" t="s">
        <v>82</v>
      </c>
      <c r="B46" s="2"/>
      <c r="C46" s="7">
        <f>E46/12</f>
        <v>0</v>
      </c>
      <c r="D46" s="7">
        <f>C46/C7</f>
        <v>0</v>
      </c>
      <c r="E46" s="55"/>
    </row>
    <row r="47" spans="1:5" ht="15.6" x14ac:dyDescent="0.3">
      <c r="A47" s="24" t="s">
        <v>83</v>
      </c>
      <c r="B47" s="2"/>
      <c r="C47" s="7">
        <f t="shared" si="2"/>
        <v>0</v>
      </c>
      <c r="D47" s="7">
        <f>C47/C7</f>
        <v>0</v>
      </c>
      <c r="E47" s="55"/>
    </row>
    <row r="48" spans="1:5" ht="15.6" x14ac:dyDescent="0.3">
      <c r="A48" s="24" t="s">
        <v>132</v>
      </c>
      <c r="B48" s="2"/>
      <c r="C48" s="7">
        <f t="shared" si="2"/>
        <v>0</v>
      </c>
      <c r="D48" s="7">
        <f>C48/C7</f>
        <v>0</v>
      </c>
      <c r="E48" s="55"/>
    </row>
    <row r="49" spans="1:6" ht="15.6" x14ac:dyDescent="0.3">
      <c r="A49" s="38" t="s">
        <v>133</v>
      </c>
      <c r="B49" s="2"/>
      <c r="C49" s="7">
        <f t="shared" si="2"/>
        <v>0</v>
      </c>
      <c r="D49" s="7">
        <f>C49/C7</f>
        <v>0</v>
      </c>
      <c r="E49" s="55"/>
    </row>
    <row r="50" spans="1:6" ht="15.6" x14ac:dyDescent="0.3">
      <c r="A50" s="24" t="s">
        <v>134</v>
      </c>
      <c r="B50" s="2"/>
      <c r="C50" s="7">
        <f t="shared" si="2"/>
        <v>0</v>
      </c>
      <c r="D50" s="7">
        <f>C50/C7</f>
        <v>0</v>
      </c>
      <c r="E50" s="55"/>
    </row>
    <row r="51" spans="1:6" ht="15.6" x14ac:dyDescent="0.3">
      <c r="A51" s="24"/>
      <c r="B51" s="2"/>
      <c r="C51" s="7"/>
      <c r="D51" s="7"/>
      <c r="E51" s="55"/>
    </row>
    <row r="52" spans="1:6" ht="15.6" x14ac:dyDescent="0.3">
      <c r="A52" s="24"/>
      <c r="B52" s="2"/>
      <c r="C52" s="7"/>
      <c r="D52" s="7"/>
      <c r="E52" s="55"/>
    </row>
    <row r="53" spans="1:6" ht="15.6" x14ac:dyDescent="0.3">
      <c r="A53" s="24"/>
      <c r="B53" s="2"/>
      <c r="C53" s="7"/>
      <c r="D53" s="7"/>
      <c r="E53" s="55"/>
    </row>
    <row r="54" spans="1:6" ht="15.6" x14ac:dyDescent="0.3">
      <c r="A54" s="24"/>
      <c r="B54" s="2"/>
      <c r="C54" s="7"/>
      <c r="D54" s="7"/>
      <c r="E54" s="55"/>
    </row>
    <row r="55" spans="1:6" ht="15.6" x14ac:dyDescent="0.3">
      <c r="A55" s="24"/>
      <c r="B55" s="2"/>
      <c r="C55" s="7"/>
      <c r="D55" s="7"/>
      <c r="E55" s="55"/>
    </row>
    <row r="56" spans="1:6" ht="15.6" x14ac:dyDescent="0.3">
      <c r="A56" s="24"/>
      <c r="B56" s="40" t="s">
        <v>70</v>
      </c>
      <c r="C56" s="41">
        <f>SUM(C42:C55)</f>
        <v>3384.711666666667</v>
      </c>
      <c r="D56" s="41">
        <f>SUM(D42:D55)</f>
        <v>1.0406492441711503</v>
      </c>
      <c r="E56" s="40">
        <f>SUM(E42:E55)</f>
        <v>40616.54</v>
      </c>
    </row>
    <row r="57" spans="1:6" ht="15.6" x14ac:dyDescent="0.3">
      <c r="A57" s="31"/>
      <c r="B57" s="32" t="s">
        <v>60</v>
      </c>
      <c r="C57" s="30">
        <f>D57*C7</f>
        <v>32525</v>
      </c>
      <c r="D57" s="30">
        <f>D41+D23+D16</f>
        <v>10</v>
      </c>
      <c r="E57" s="30">
        <f>C57*12</f>
        <v>390300</v>
      </c>
    </row>
    <row r="58" spans="1:6" ht="15.6" x14ac:dyDescent="0.3">
      <c r="A58" s="31" t="s">
        <v>69</v>
      </c>
      <c r="B58" s="16" t="s">
        <v>65</v>
      </c>
      <c r="C58" s="16">
        <f>D58*C7</f>
        <v>2083.3333333333335</v>
      </c>
      <c r="D58" s="22">
        <f>C10/C7/12</f>
        <v>0.64053292339226242</v>
      </c>
      <c r="E58" s="16">
        <f>C58*12</f>
        <v>25000</v>
      </c>
    </row>
    <row r="59" spans="1:6" ht="15.6" x14ac:dyDescent="0.3">
      <c r="A59" s="24" t="s">
        <v>74</v>
      </c>
      <c r="B59" s="2" t="s">
        <v>72</v>
      </c>
      <c r="C59" s="76">
        <f>E59/12</f>
        <v>2083.3333333333335</v>
      </c>
      <c r="D59" s="54">
        <f>C59/C7</f>
        <v>0.64053292339226242</v>
      </c>
      <c r="E59" s="55">
        <v>25000</v>
      </c>
      <c r="F59" s="67"/>
    </row>
    <row r="60" spans="1:6" ht="15.6" x14ac:dyDescent="0.3">
      <c r="A60" s="24" t="s">
        <v>75</v>
      </c>
      <c r="B60" s="55"/>
      <c r="C60" s="76"/>
      <c r="D60" s="54"/>
      <c r="E60" s="55"/>
      <c r="F60" s="67"/>
    </row>
    <row r="61" spans="1:6" ht="15.6" x14ac:dyDescent="0.3">
      <c r="A61" s="24" t="s">
        <v>96</v>
      </c>
      <c r="B61" s="55"/>
      <c r="C61" s="76"/>
      <c r="D61" s="54"/>
      <c r="E61" s="55"/>
      <c r="F61" s="67"/>
    </row>
    <row r="62" spans="1:6" ht="15.6" x14ac:dyDescent="0.3">
      <c r="A62" s="4"/>
      <c r="B62" s="55"/>
      <c r="C62" s="76"/>
      <c r="D62" s="54"/>
      <c r="E62" s="55"/>
      <c r="F62" s="67"/>
    </row>
    <row r="63" spans="1:6" ht="15.6" x14ac:dyDescent="0.3">
      <c r="A63" s="4"/>
      <c r="B63" s="42" t="s">
        <v>70</v>
      </c>
      <c r="C63" s="42"/>
      <c r="D63" s="43">
        <f>SUM(D59:D62)</f>
        <v>0.64053292339226242</v>
      </c>
      <c r="E63" s="42"/>
      <c r="F63" s="67"/>
    </row>
    <row r="64" spans="1:6" x14ac:dyDescent="0.3">
      <c r="A64" s="119" t="s">
        <v>166</v>
      </c>
      <c r="B64" s="120"/>
      <c r="C64" s="120"/>
      <c r="D64" s="120"/>
      <c r="E64" s="121"/>
    </row>
    <row r="65" spans="1:5" x14ac:dyDescent="0.3">
      <c r="A65" s="122"/>
      <c r="B65" s="123"/>
      <c r="C65" s="123"/>
      <c r="D65" s="123"/>
      <c r="E65" s="124"/>
    </row>
    <row r="66" spans="1:5" x14ac:dyDescent="0.3">
      <c r="A66" s="122"/>
      <c r="B66" s="123"/>
      <c r="C66" s="123"/>
      <c r="D66" s="123"/>
      <c r="E66" s="124"/>
    </row>
    <row r="67" spans="1:5" x14ac:dyDescent="0.3">
      <c r="A67" s="125"/>
      <c r="B67" s="126"/>
      <c r="C67" s="126"/>
      <c r="D67" s="126"/>
      <c r="E67" s="127"/>
    </row>
    <row r="68" spans="1:5" ht="41.25" customHeight="1" x14ac:dyDescent="0.3">
      <c r="A68" s="114" t="s">
        <v>167</v>
      </c>
      <c r="B68" s="115"/>
      <c r="C68" s="3"/>
      <c r="D68" s="3"/>
      <c r="E68" s="3"/>
    </row>
  </sheetData>
  <mergeCells count="18">
    <mergeCell ref="A10:B10"/>
    <mergeCell ref="C10:E10"/>
    <mergeCell ref="A64:E67"/>
    <mergeCell ref="A68:B68"/>
    <mergeCell ref="A7:B7"/>
    <mergeCell ref="C7:E7"/>
    <mergeCell ref="A13:B13"/>
    <mergeCell ref="C13:E13"/>
    <mergeCell ref="A14:E14"/>
    <mergeCell ref="A8:B8"/>
    <mergeCell ref="C8:E8"/>
    <mergeCell ref="A9:B9"/>
    <mergeCell ref="C9:E9"/>
    <mergeCell ref="A2:E4"/>
    <mergeCell ref="A5:B5"/>
    <mergeCell ref="C5:E5"/>
    <mergeCell ref="A6:B6"/>
    <mergeCell ref="C6:E6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8"/>
  <sheetViews>
    <sheetView topLeftCell="A26" workbookViewId="0">
      <selection activeCell="A45" sqref="A45:XFD55"/>
    </sheetView>
  </sheetViews>
  <sheetFormatPr defaultRowHeight="13.8" x14ac:dyDescent="0.3"/>
  <cols>
    <col min="1" max="1" width="8.5546875" style="29" customWidth="1"/>
    <col min="2" max="2" width="51.88671875" customWidth="1"/>
    <col min="3" max="3" width="11.6640625" customWidth="1"/>
    <col min="4" max="4" width="11.88671875" customWidth="1"/>
    <col min="5" max="5" width="12.33203125" customWidth="1"/>
  </cols>
  <sheetData>
    <row r="2" spans="1:5" x14ac:dyDescent="0.3">
      <c r="A2" s="102" t="s">
        <v>109</v>
      </c>
      <c r="B2" s="102"/>
      <c r="C2" s="102"/>
      <c r="D2" s="102"/>
      <c r="E2" s="102"/>
    </row>
    <row r="3" spans="1:5" x14ac:dyDescent="0.3">
      <c r="A3" s="102"/>
      <c r="B3" s="102"/>
      <c r="C3" s="102"/>
      <c r="D3" s="102"/>
      <c r="E3" s="102"/>
    </row>
    <row r="4" spans="1:5" x14ac:dyDescent="0.3">
      <c r="A4" s="103"/>
      <c r="B4" s="103"/>
      <c r="C4" s="103"/>
      <c r="D4" s="103"/>
      <c r="E4" s="103"/>
    </row>
    <row r="5" spans="1:5" ht="15.6" x14ac:dyDescent="0.3">
      <c r="A5" s="97" t="s">
        <v>0</v>
      </c>
      <c r="B5" s="98"/>
      <c r="C5" s="97" t="s">
        <v>1</v>
      </c>
      <c r="D5" s="104"/>
      <c r="E5" s="98"/>
    </row>
    <row r="6" spans="1:5" ht="15.6" x14ac:dyDescent="0.3">
      <c r="A6" s="97" t="s">
        <v>2</v>
      </c>
      <c r="B6" s="98"/>
      <c r="C6" s="99">
        <v>6</v>
      </c>
      <c r="D6" s="100"/>
      <c r="E6" s="101"/>
    </row>
    <row r="7" spans="1:5" ht="15.6" x14ac:dyDescent="0.3">
      <c r="A7" s="97" t="s">
        <v>3</v>
      </c>
      <c r="B7" s="98"/>
      <c r="C7" s="99">
        <v>12215.1</v>
      </c>
      <c r="D7" s="100"/>
      <c r="E7" s="101"/>
    </row>
    <row r="8" spans="1:5" ht="15.6" x14ac:dyDescent="0.3">
      <c r="A8" s="97" t="s">
        <v>4</v>
      </c>
      <c r="B8" s="98"/>
      <c r="C8" s="99">
        <v>1351</v>
      </c>
      <c r="D8" s="100"/>
      <c r="E8" s="101"/>
    </row>
    <row r="9" spans="1:5" ht="15.6" x14ac:dyDescent="0.3">
      <c r="A9" s="97" t="s">
        <v>5</v>
      </c>
      <c r="B9" s="98"/>
      <c r="C9" s="99">
        <v>11</v>
      </c>
      <c r="D9" s="100"/>
      <c r="E9" s="101"/>
    </row>
    <row r="10" spans="1:5" ht="15.6" x14ac:dyDescent="0.3">
      <c r="A10" s="97" t="s">
        <v>6</v>
      </c>
      <c r="B10" s="98"/>
      <c r="C10" s="99">
        <v>26000</v>
      </c>
      <c r="D10" s="100"/>
      <c r="E10" s="101"/>
    </row>
    <row r="11" spans="1:5" ht="15.6" x14ac:dyDescent="0.3">
      <c r="A11" s="50"/>
      <c r="B11" s="51" t="s">
        <v>56</v>
      </c>
      <c r="C11" s="50"/>
      <c r="D11" s="52">
        <f>C7*C9</f>
        <v>134366.1</v>
      </c>
      <c r="E11" s="51"/>
    </row>
    <row r="12" spans="1:5" ht="15.6" x14ac:dyDescent="0.3">
      <c r="A12" s="50"/>
      <c r="B12" s="51" t="s">
        <v>64</v>
      </c>
      <c r="C12" s="50"/>
      <c r="D12" s="52">
        <f>D11+(C10/12)</f>
        <v>136532.76666666666</v>
      </c>
      <c r="E12" s="51"/>
    </row>
    <row r="13" spans="1:5" ht="15.6" x14ac:dyDescent="0.3">
      <c r="A13" s="97" t="s">
        <v>7</v>
      </c>
      <c r="B13" s="98"/>
      <c r="C13" s="97">
        <f>(C7*C9*12)+C10</f>
        <v>1638393.2000000002</v>
      </c>
      <c r="D13" s="104"/>
      <c r="E13" s="98"/>
    </row>
    <row r="14" spans="1:5" ht="15.6" x14ac:dyDescent="0.3">
      <c r="A14" s="97" t="s">
        <v>8</v>
      </c>
      <c r="B14" s="104"/>
      <c r="C14" s="104"/>
      <c r="D14" s="104"/>
      <c r="E14" s="98"/>
    </row>
    <row r="15" spans="1:5" ht="46.8" x14ac:dyDescent="0.3">
      <c r="A15" s="4"/>
      <c r="B15" s="10" t="s">
        <v>12</v>
      </c>
      <c r="C15" s="10" t="s">
        <v>13</v>
      </c>
      <c r="D15" s="11" t="s">
        <v>14</v>
      </c>
      <c r="E15" s="10" t="s">
        <v>15</v>
      </c>
    </row>
    <row r="16" spans="1:5" ht="18" x14ac:dyDescent="0.35">
      <c r="A16" s="23">
        <v>1</v>
      </c>
      <c r="B16" s="14" t="s">
        <v>9</v>
      </c>
      <c r="C16" s="21">
        <f>C17+C18</f>
        <v>28158.166390000006</v>
      </c>
      <c r="D16" s="21">
        <f>D17+D18</f>
        <v>2.4169670372462502</v>
      </c>
      <c r="E16" s="21">
        <f>E17+E18</f>
        <v>337897.99668000004</v>
      </c>
    </row>
    <row r="17" spans="1:5" ht="15.6" x14ac:dyDescent="0.3">
      <c r="A17" s="24" t="s">
        <v>10</v>
      </c>
      <c r="B17" s="8" t="s">
        <v>11</v>
      </c>
      <c r="C17" s="54">
        <f>(D11*12.59%)+(C10*12.59%/12)</f>
        <v>17189.475323333336</v>
      </c>
      <c r="D17" s="54">
        <f>C17/C7</f>
        <v>1.407231649624918</v>
      </c>
      <c r="E17" s="54">
        <f>C17*12</f>
        <v>206273.70388000004</v>
      </c>
    </row>
    <row r="18" spans="1:5" ht="15.6" x14ac:dyDescent="0.3">
      <c r="A18" s="4" t="s">
        <v>16</v>
      </c>
      <c r="B18" s="8" t="s">
        <v>17</v>
      </c>
      <c r="C18" s="62">
        <f>SUM(C19:C21)</f>
        <v>10968.691066666668</v>
      </c>
      <c r="D18" s="62">
        <f>SUM(D19:D22)</f>
        <v>1.0097353876213322</v>
      </c>
      <c r="E18" s="62">
        <f t="shared" ref="E18" si="0">SUM(E19:E21)</f>
        <v>131624.2928</v>
      </c>
    </row>
    <row r="19" spans="1:5" ht="15.6" x14ac:dyDescent="0.3">
      <c r="A19" s="24" t="s">
        <v>18</v>
      </c>
      <c r="B19" s="8" t="s">
        <v>19</v>
      </c>
      <c r="C19" s="54">
        <f>E19/12</f>
        <v>3102.1666666666665</v>
      </c>
      <c r="D19" s="54">
        <f>C19/C7</f>
        <v>0.25396162672975797</v>
      </c>
      <c r="E19" s="54">
        <v>37226</v>
      </c>
    </row>
    <row r="20" spans="1:5" ht="42" x14ac:dyDescent="0.3">
      <c r="A20" s="24" t="s">
        <v>20</v>
      </c>
      <c r="B20" s="13" t="s">
        <v>21</v>
      </c>
      <c r="C20" s="54">
        <f>D20*C7</f>
        <v>3298.0770000000002</v>
      </c>
      <c r="D20" s="55">
        <v>0.27</v>
      </c>
      <c r="E20" s="54">
        <f>C20*12</f>
        <v>39576.923999999999</v>
      </c>
    </row>
    <row r="21" spans="1:5" ht="15.6" x14ac:dyDescent="0.3">
      <c r="A21" s="24" t="s">
        <v>22</v>
      </c>
      <c r="B21" s="8" t="s">
        <v>23</v>
      </c>
      <c r="C21" s="7">
        <f>D11*3.4%</f>
        <v>4568.4474000000009</v>
      </c>
      <c r="D21" s="7">
        <f>C21/C7</f>
        <v>0.37400000000000005</v>
      </c>
      <c r="E21" s="7">
        <f>C21*12</f>
        <v>54821.368800000011</v>
      </c>
    </row>
    <row r="22" spans="1:5" ht="15.6" x14ac:dyDescent="0.3">
      <c r="A22" s="24" t="s">
        <v>66</v>
      </c>
      <c r="B22" s="8" t="s">
        <v>67</v>
      </c>
      <c r="C22" s="7">
        <f>E22/12</f>
        <v>1365.3276666666668</v>
      </c>
      <c r="D22" s="7">
        <f>C22/C7</f>
        <v>0.11177376089157409</v>
      </c>
      <c r="E22" s="7">
        <f>C13*1%</f>
        <v>16383.932000000003</v>
      </c>
    </row>
    <row r="23" spans="1:5" ht="18" x14ac:dyDescent="0.35">
      <c r="A23" s="25" t="s">
        <v>24</v>
      </c>
      <c r="B23" s="14" t="s">
        <v>25</v>
      </c>
      <c r="C23" s="21">
        <f>C24+C28+C34</f>
        <v>70966.100666666665</v>
      </c>
      <c r="D23" s="21">
        <f>D24+D28+D34</f>
        <v>5.8097027995404584</v>
      </c>
      <c r="E23" s="21">
        <f>E24+E28+E34</f>
        <v>851593.2080000001</v>
      </c>
    </row>
    <row r="24" spans="1:5" ht="17.399999999999999" x14ac:dyDescent="0.3">
      <c r="A24" s="26" t="s">
        <v>26</v>
      </c>
      <c r="B24" s="15" t="s">
        <v>27</v>
      </c>
      <c r="C24" s="22">
        <f>SUM(C25:C27)</f>
        <v>2853.2530000000002</v>
      </c>
      <c r="D24" s="22">
        <f>SUM(D25:D27)</f>
        <v>0.23358408854614368</v>
      </c>
      <c r="E24" s="22">
        <f>SUM(E25:E27)</f>
        <v>34239.036</v>
      </c>
    </row>
    <row r="25" spans="1:5" ht="15.6" x14ac:dyDescent="0.3">
      <c r="A25" s="24" t="s">
        <v>28</v>
      </c>
      <c r="B25" s="13" t="s">
        <v>61</v>
      </c>
      <c r="C25" s="7">
        <f>D25*C7</f>
        <v>2198.7179999999998</v>
      </c>
      <c r="D25" s="2">
        <v>0.18</v>
      </c>
      <c r="E25" s="7">
        <f>C25*12</f>
        <v>26384.615999999998</v>
      </c>
    </row>
    <row r="26" spans="1:5" ht="15.6" x14ac:dyDescent="0.3">
      <c r="A26" s="24" t="s">
        <v>29</v>
      </c>
      <c r="B26" s="2" t="s">
        <v>30</v>
      </c>
      <c r="C26" s="7">
        <f>D26*C7</f>
        <v>610.755</v>
      </c>
      <c r="D26" s="2">
        <v>0.05</v>
      </c>
      <c r="E26" s="7">
        <f>C26*12</f>
        <v>7329.0599999999995</v>
      </c>
    </row>
    <row r="27" spans="1:5" ht="15.6" x14ac:dyDescent="0.3">
      <c r="A27" s="57" t="s">
        <v>31</v>
      </c>
      <c r="B27" s="55" t="s">
        <v>57</v>
      </c>
      <c r="C27" s="55">
        <f>E27/12</f>
        <v>43.78</v>
      </c>
      <c r="D27" s="56">
        <f>C27/C7</f>
        <v>3.5840885461437075E-3</v>
      </c>
      <c r="E27" s="55">
        <f>87.56*6</f>
        <v>525.36</v>
      </c>
    </row>
    <row r="28" spans="1:5" ht="17.399999999999999" x14ac:dyDescent="0.3">
      <c r="A28" s="26" t="s">
        <v>32</v>
      </c>
      <c r="B28" s="17" t="s">
        <v>33</v>
      </c>
      <c r="C28" s="22">
        <f>SUM(C29:C33)</f>
        <v>33376.353999999999</v>
      </c>
      <c r="D28" s="22">
        <f>SUM(D29:D33)</f>
        <v>2.7323848351630358</v>
      </c>
      <c r="E28" s="22">
        <f>SUM(E29:E33)</f>
        <v>400516.24800000002</v>
      </c>
    </row>
    <row r="29" spans="1:5" ht="15.6" x14ac:dyDescent="0.3">
      <c r="A29" s="24" t="s">
        <v>34</v>
      </c>
      <c r="B29" s="13" t="s">
        <v>62</v>
      </c>
      <c r="C29" s="7">
        <f>D29*C7</f>
        <v>21376.424999999999</v>
      </c>
      <c r="D29" s="2">
        <v>1.75</v>
      </c>
      <c r="E29" s="7">
        <f>C29*12</f>
        <v>256517.09999999998</v>
      </c>
    </row>
    <row r="30" spans="1:5" ht="15.6" x14ac:dyDescent="0.3">
      <c r="A30" s="57" t="s">
        <v>35</v>
      </c>
      <c r="B30" s="55" t="s">
        <v>36</v>
      </c>
      <c r="C30" s="55">
        <v>2350</v>
      </c>
      <c r="D30" s="54">
        <f>C30/C7</f>
        <v>0.19238483516303592</v>
      </c>
      <c r="E30" s="55">
        <f>C30*12</f>
        <v>28200</v>
      </c>
    </row>
    <row r="31" spans="1:5" ht="15.6" x14ac:dyDescent="0.3">
      <c r="A31" s="57" t="s">
        <v>37</v>
      </c>
      <c r="B31" s="2" t="s">
        <v>30</v>
      </c>
      <c r="C31" s="7">
        <f>D31*C7</f>
        <v>1099.3589999999999</v>
      </c>
      <c r="D31" s="2">
        <v>0.09</v>
      </c>
      <c r="E31" s="7">
        <f>C31*12</f>
        <v>13192.307999999999</v>
      </c>
    </row>
    <row r="32" spans="1:5" ht="15.6" x14ac:dyDescent="0.3">
      <c r="A32" s="57" t="s">
        <v>38</v>
      </c>
      <c r="B32" s="2" t="s">
        <v>40</v>
      </c>
      <c r="C32" s="7">
        <f>D32*C7</f>
        <v>366.45299999999997</v>
      </c>
      <c r="D32" s="2">
        <v>0.03</v>
      </c>
      <c r="E32" s="7">
        <f>C32*12</f>
        <v>4397.4359999999997</v>
      </c>
    </row>
    <row r="33" spans="1:5" ht="15.6" x14ac:dyDescent="0.3">
      <c r="A33" s="57" t="s">
        <v>39</v>
      </c>
      <c r="B33" s="2" t="s">
        <v>41</v>
      </c>
      <c r="C33" s="7">
        <f>D33*C7</f>
        <v>8184.1170000000011</v>
      </c>
      <c r="D33" s="2">
        <v>0.67</v>
      </c>
      <c r="E33" s="7">
        <f>C33*12</f>
        <v>98209.40400000001</v>
      </c>
    </row>
    <row r="34" spans="1:5" ht="31.2" x14ac:dyDescent="0.3">
      <c r="A34" s="26" t="s">
        <v>42</v>
      </c>
      <c r="B34" s="18" t="s">
        <v>43</v>
      </c>
      <c r="C34" s="22">
        <f>SUM(C35:C40)</f>
        <v>34736.493666666669</v>
      </c>
      <c r="D34" s="22">
        <f>SUM(D35:D40)</f>
        <v>2.8437338758312793</v>
      </c>
      <c r="E34" s="22">
        <f>SUM(E35:E40)</f>
        <v>416837.924</v>
      </c>
    </row>
    <row r="35" spans="1:5" ht="27" x14ac:dyDescent="0.3">
      <c r="A35" s="24" t="s">
        <v>44</v>
      </c>
      <c r="B35" s="64" t="s">
        <v>73</v>
      </c>
      <c r="C35" s="54">
        <f>D35*C7</f>
        <v>30904.202999999998</v>
      </c>
      <c r="D35" s="55">
        <v>2.5299999999999998</v>
      </c>
      <c r="E35" s="54">
        <f>C35*12</f>
        <v>370850.43599999999</v>
      </c>
    </row>
    <row r="36" spans="1:5" ht="15.6" x14ac:dyDescent="0.3">
      <c r="A36" s="24" t="s">
        <v>46</v>
      </c>
      <c r="B36" s="58" t="s">
        <v>45</v>
      </c>
      <c r="C36" s="54">
        <f>D36*C7</f>
        <v>1099.3589999999999</v>
      </c>
      <c r="D36" s="55">
        <v>0.09</v>
      </c>
      <c r="E36" s="54">
        <f t="shared" ref="E36:E40" si="1">C36*12</f>
        <v>13192.307999999999</v>
      </c>
    </row>
    <row r="37" spans="1:5" ht="15.6" x14ac:dyDescent="0.3">
      <c r="A37" s="24" t="s">
        <v>47</v>
      </c>
      <c r="B37" s="55" t="s">
        <v>48</v>
      </c>
      <c r="C37" s="54">
        <f>D37*C7</f>
        <v>244.30200000000002</v>
      </c>
      <c r="D37" s="55">
        <v>0.02</v>
      </c>
      <c r="E37" s="54">
        <f t="shared" si="1"/>
        <v>2931.6240000000003</v>
      </c>
    </row>
    <row r="38" spans="1:5" ht="15.6" x14ac:dyDescent="0.3">
      <c r="A38" s="24" t="s">
        <v>49</v>
      </c>
      <c r="B38" s="55" t="s">
        <v>50</v>
      </c>
      <c r="C38" s="54">
        <f>D38*C7</f>
        <v>366.45299999999997</v>
      </c>
      <c r="D38" s="55">
        <v>0.03</v>
      </c>
      <c r="E38" s="54">
        <f t="shared" si="1"/>
        <v>4397.4359999999997</v>
      </c>
    </row>
    <row r="39" spans="1:5" ht="15.6" x14ac:dyDescent="0.3">
      <c r="A39" s="57" t="s">
        <v>51</v>
      </c>
      <c r="B39" s="55" t="s">
        <v>52</v>
      </c>
      <c r="C39" s="59">
        <f>E39/12</f>
        <v>900.66666666666663</v>
      </c>
      <c r="D39" s="59">
        <f>C39/C7</f>
        <v>7.3733875831279855E-2</v>
      </c>
      <c r="E39" s="59">
        <f>C8*4*2</f>
        <v>10808</v>
      </c>
    </row>
    <row r="40" spans="1:5" ht="15.6" x14ac:dyDescent="0.3">
      <c r="A40" s="24" t="s">
        <v>53</v>
      </c>
      <c r="B40" s="55" t="s">
        <v>30</v>
      </c>
      <c r="C40" s="54">
        <f>D40*C7</f>
        <v>1221.51</v>
      </c>
      <c r="D40" s="55">
        <v>0.1</v>
      </c>
      <c r="E40" s="54">
        <f t="shared" si="1"/>
        <v>14658.119999999999</v>
      </c>
    </row>
    <row r="41" spans="1:5" ht="17.399999999999999" x14ac:dyDescent="0.3">
      <c r="A41" s="26" t="s">
        <v>68</v>
      </c>
      <c r="B41" s="16" t="s">
        <v>59</v>
      </c>
      <c r="C41" s="22">
        <f>D41*C7</f>
        <v>33876.505276666678</v>
      </c>
      <c r="D41" s="22">
        <f>C9-D16-D23</f>
        <v>2.7733301632132914</v>
      </c>
      <c r="E41" s="22">
        <f>C41*12</f>
        <v>406518.06332000013</v>
      </c>
    </row>
    <row r="42" spans="1:5" ht="15.6" x14ac:dyDescent="0.3">
      <c r="A42" s="24" t="s">
        <v>77</v>
      </c>
      <c r="B42" s="2" t="s">
        <v>78</v>
      </c>
      <c r="C42" s="7">
        <f>E42/12</f>
        <v>679.83833333333337</v>
      </c>
      <c r="D42" s="7">
        <f>C42/C7</f>
        <v>5.5655568381211232E-2</v>
      </c>
      <c r="E42" s="55">
        <v>8158.06</v>
      </c>
    </row>
    <row r="43" spans="1:5" ht="15.6" x14ac:dyDescent="0.3">
      <c r="A43" s="24" t="s">
        <v>79</v>
      </c>
      <c r="B43" s="2" t="s">
        <v>122</v>
      </c>
      <c r="C43" s="7">
        <f>E43/12</f>
        <v>6500</v>
      </c>
      <c r="D43" s="7">
        <f>C43/C7</f>
        <v>0.53212826747222697</v>
      </c>
      <c r="E43" s="55">
        <v>78000</v>
      </c>
    </row>
    <row r="44" spans="1:5" ht="15.6" x14ac:dyDescent="0.3">
      <c r="A44" s="24" t="s">
        <v>80</v>
      </c>
      <c r="B44" s="2" t="s">
        <v>154</v>
      </c>
      <c r="C44" s="7">
        <f>E44/12</f>
        <v>26666.666666666668</v>
      </c>
      <c r="D44" s="7">
        <f>C44/C7</f>
        <v>2.1830903280911875</v>
      </c>
      <c r="E44" s="55">
        <v>320000</v>
      </c>
    </row>
    <row r="45" spans="1:5" ht="15.6" x14ac:dyDescent="0.3">
      <c r="A45" s="24" t="s">
        <v>81</v>
      </c>
      <c r="B45" s="2"/>
      <c r="C45" s="7">
        <f t="shared" ref="C45:C50" si="2">E45/12</f>
        <v>0</v>
      </c>
      <c r="D45" s="7">
        <f>C45/C7</f>
        <v>0</v>
      </c>
      <c r="E45" s="55">
        <v>0</v>
      </c>
    </row>
    <row r="46" spans="1:5" ht="15.6" x14ac:dyDescent="0.3">
      <c r="A46" s="24" t="s">
        <v>82</v>
      </c>
      <c r="B46" s="2"/>
      <c r="C46" s="7">
        <f>E46/12</f>
        <v>0</v>
      </c>
      <c r="D46" s="7">
        <f>C46/C7</f>
        <v>0</v>
      </c>
      <c r="E46" s="55"/>
    </row>
    <row r="47" spans="1:5" ht="15.6" x14ac:dyDescent="0.3">
      <c r="A47" s="24" t="s">
        <v>83</v>
      </c>
      <c r="B47" s="2"/>
      <c r="C47" s="7">
        <f t="shared" si="2"/>
        <v>0</v>
      </c>
      <c r="D47" s="7">
        <f>C47/C7</f>
        <v>0</v>
      </c>
      <c r="E47" s="55"/>
    </row>
    <row r="48" spans="1:5" ht="15.6" x14ac:dyDescent="0.3">
      <c r="A48" s="24" t="s">
        <v>132</v>
      </c>
      <c r="B48" s="2"/>
      <c r="C48" s="7">
        <f t="shared" si="2"/>
        <v>0</v>
      </c>
      <c r="D48" s="7">
        <f>C48/C7</f>
        <v>0</v>
      </c>
      <c r="E48" s="55"/>
    </row>
    <row r="49" spans="1:5" ht="15.6" x14ac:dyDescent="0.3">
      <c r="A49" s="38" t="s">
        <v>133</v>
      </c>
      <c r="B49" s="2"/>
      <c r="C49" s="7">
        <f t="shared" si="2"/>
        <v>0</v>
      </c>
      <c r="D49" s="7">
        <f>C49/C7</f>
        <v>0</v>
      </c>
      <c r="E49" s="55"/>
    </row>
    <row r="50" spans="1:5" ht="15.6" x14ac:dyDescent="0.3">
      <c r="A50" s="24" t="s">
        <v>134</v>
      </c>
      <c r="B50" s="2"/>
      <c r="C50" s="7">
        <f t="shared" si="2"/>
        <v>0</v>
      </c>
      <c r="D50" s="7">
        <f>C50/C7</f>
        <v>0</v>
      </c>
      <c r="E50" s="55"/>
    </row>
    <row r="51" spans="1:5" ht="15.6" x14ac:dyDescent="0.3">
      <c r="A51" s="24"/>
      <c r="B51" s="2"/>
      <c r="C51" s="7"/>
      <c r="D51" s="7"/>
      <c r="E51" s="55"/>
    </row>
    <row r="52" spans="1:5" ht="15.6" x14ac:dyDescent="0.3">
      <c r="A52" s="24"/>
      <c r="B52" s="2"/>
      <c r="C52" s="7"/>
      <c r="D52" s="7"/>
      <c r="E52" s="55"/>
    </row>
    <row r="53" spans="1:5" ht="15.6" x14ac:dyDescent="0.3">
      <c r="A53" s="24"/>
      <c r="B53" s="2"/>
      <c r="C53" s="7"/>
      <c r="D53" s="7"/>
      <c r="E53" s="55"/>
    </row>
    <row r="54" spans="1:5" ht="15.6" x14ac:dyDescent="0.3">
      <c r="A54" s="24"/>
      <c r="B54" s="2"/>
      <c r="C54" s="7"/>
      <c r="D54" s="7"/>
      <c r="E54" s="55"/>
    </row>
    <row r="55" spans="1:5" ht="15.6" x14ac:dyDescent="0.3">
      <c r="A55" s="24"/>
      <c r="B55" s="2"/>
      <c r="C55" s="7"/>
      <c r="D55" s="7"/>
      <c r="E55" s="55"/>
    </row>
    <row r="56" spans="1:5" ht="15.6" x14ac:dyDescent="0.3">
      <c r="A56" s="24"/>
      <c r="B56" s="40" t="s">
        <v>70</v>
      </c>
      <c r="C56" s="41">
        <f>SUM(C42:C55)</f>
        <v>33846.505000000005</v>
      </c>
      <c r="D56" s="41">
        <f>SUM(D42:D55)</f>
        <v>2.7708741639446259</v>
      </c>
      <c r="E56" s="40">
        <f>SUM(E42:E55)</f>
        <v>406158.06</v>
      </c>
    </row>
    <row r="57" spans="1:5" ht="15.6" x14ac:dyDescent="0.3">
      <c r="A57" s="31"/>
      <c r="B57" s="32" t="s">
        <v>60</v>
      </c>
      <c r="C57" s="30">
        <f>D57*C7</f>
        <v>134366.1</v>
      </c>
      <c r="D57" s="30">
        <f>D41+D23+D16</f>
        <v>11</v>
      </c>
      <c r="E57" s="30">
        <f>C57*12</f>
        <v>1612393.2000000002</v>
      </c>
    </row>
    <row r="58" spans="1:5" ht="15.6" x14ac:dyDescent="0.3">
      <c r="A58" s="31" t="s">
        <v>69</v>
      </c>
      <c r="B58" s="16" t="s">
        <v>65</v>
      </c>
      <c r="C58" s="16">
        <f>D58*C7</f>
        <v>2166.6666666666665</v>
      </c>
      <c r="D58" s="22">
        <f>C10/C7/12</f>
        <v>0.17737608915740899</v>
      </c>
      <c r="E58" s="16">
        <f>C58*12</f>
        <v>26000</v>
      </c>
    </row>
    <row r="59" spans="1:5" ht="15.6" x14ac:dyDescent="0.3">
      <c r="A59" s="24" t="s">
        <v>74</v>
      </c>
      <c r="B59" s="55" t="s">
        <v>72</v>
      </c>
      <c r="C59" s="76">
        <f>E59/12</f>
        <v>2166.6666666666665</v>
      </c>
      <c r="D59" s="54">
        <f>C59/C7</f>
        <v>0.17737608915740899</v>
      </c>
      <c r="E59" s="55">
        <v>26000</v>
      </c>
    </row>
    <row r="60" spans="1:5" ht="15.6" x14ac:dyDescent="0.3">
      <c r="A60" s="24" t="s">
        <v>75</v>
      </c>
      <c r="B60" s="55"/>
      <c r="C60" s="76"/>
      <c r="D60" s="54"/>
      <c r="E60" s="55"/>
    </row>
    <row r="61" spans="1:5" ht="15.6" x14ac:dyDescent="0.3">
      <c r="A61" s="24" t="s">
        <v>96</v>
      </c>
      <c r="B61" s="55"/>
      <c r="C61" s="76"/>
      <c r="D61" s="54"/>
      <c r="E61" s="55"/>
    </row>
    <row r="62" spans="1:5" ht="15.6" x14ac:dyDescent="0.3">
      <c r="A62" s="4"/>
      <c r="B62" s="55"/>
      <c r="C62" s="76"/>
      <c r="D62" s="54"/>
      <c r="E62" s="55"/>
    </row>
    <row r="63" spans="1:5" ht="15.6" x14ac:dyDescent="0.3">
      <c r="A63" s="4"/>
      <c r="B63" s="42" t="s">
        <v>70</v>
      </c>
      <c r="C63" s="42"/>
      <c r="D63" s="43">
        <f>SUM(D59:D62)</f>
        <v>0.17737608915740899</v>
      </c>
      <c r="E63" s="42"/>
    </row>
    <row r="64" spans="1:5" x14ac:dyDescent="0.3">
      <c r="A64" s="119" t="s">
        <v>166</v>
      </c>
      <c r="B64" s="120"/>
      <c r="C64" s="120"/>
      <c r="D64" s="120"/>
      <c r="E64" s="121"/>
    </row>
    <row r="65" spans="1:5" x14ac:dyDescent="0.3">
      <c r="A65" s="122"/>
      <c r="B65" s="123"/>
      <c r="C65" s="123"/>
      <c r="D65" s="123"/>
      <c r="E65" s="124"/>
    </row>
    <row r="66" spans="1:5" x14ac:dyDescent="0.3">
      <c r="A66" s="122"/>
      <c r="B66" s="123"/>
      <c r="C66" s="123"/>
      <c r="D66" s="123"/>
      <c r="E66" s="124"/>
    </row>
    <row r="67" spans="1:5" x14ac:dyDescent="0.3">
      <c r="A67" s="125"/>
      <c r="B67" s="126"/>
      <c r="C67" s="126"/>
      <c r="D67" s="126"/>
      <c r="E67" s="127"/>
    </row>
    <row r="68" spans="1:5" ht="44.25" customHeight="1" x14ac:dyDescent="0.3">
      <c r="A68" s="114" t="s">
        <v>167</v>
      </c>
      <c r="B68" s="115"/>
      <c r="C68" s="3"/>
      <c r="D68" s="3"/>
      <c r="E68" s="3"/>
    </row>
  </sheetData>
  <mergeCells count="18">
    <mergeCell ref="A10:B10"/>
    <mergeCell ref="C10:E10"/>
    <mergeCell ref="A64:E67"/>
    <mergeCell ref="A68:B68"/>
    <mergeCell ref="A7:B7"/>
    <mergeCell ref="C7:E7"/>
    <mergeCell ref="A13:B13"/>
    <mergeCell ref="C13:E13"/>
    <mergeCell ref="A14:E14"/>
    <mergeCell ref="A8:B8"/>
    <mergeCell ref="C8:E8"/>
    <mergeCell ref="A9:B9"/>
    <mergeCell ref="C9:E9"/>
    <mergeCell ref="A2:E4"/>
    <mergeCell ref="A5:B5"/>
    <mergeCell ref="C5:E5"/>
    <mergeCell ref="A6:B6"/>
    <mergeCell ref="C6:E6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37</vt:i4>
      </vt:variant>
    </vt:vector>
  </HeadingPairs>
  <TitlesOfParts>
    <vt:vector size="37" baseType="lpstr">
      <vt:lpstr>Попова,10.2</vt:lpstr>
      <vt:lpstr>Попова,10.1</vt:lpstr>
      <vt:lpstr>Попова,6.2</vt:lpstr>
      <vt:lpstr>Попова,6.1</vt:lpstr>
      <vt:lpstr>Попова,4.2</vt:lpstr>
      <vt:lpstr>Попова,4.1</vt:lpstr>
      <vt:lpstr>Монтажников,11.2</vt:lpstr>
      <vt:lpstr>Монтажников,11.1</vt:lpstr>
      <vt:lpstr>Монтажников,8</vt:lpstr>
      <vt:lpstr>Монтажников,5</vt:lpstr>
      <vt:lpstr>Монтажников,3</vt:lpstr>
      <vt:lpstr>В.Кащеевой,25</vt:lpstr>
      <vt:lpstr>В.Кащеевой,23.2</vt:lpstr>
      <vt:lpstr>В.Кащеевой,23.1</vt:lpstr>
      <vt:lpstr>В.Кащеевой,17.2</vt:lpstr>
      <vt:lpstr>В.Кащеевой,17.1</vt:lpstr>
      <vt:lpstr>В.Кащеевой,16</vt:lpstr>
      <vt:lpstr>В.Кащеевой,13</vt:lpstr>
      <vt:lpstr>В.Кащеевой,12</vt:lpstr>
      <vt:lpstr>В.Кащеевой,11</vt:lpstr>
      <vt:lpstr>В.Кащеевой,10</vt:lpstr>
      <vt:lpstr>В.Кащеевой,9</vt:lpstr>
      <vt:lpstr>В.Кащеевой,8</vt:lpstr>
      <vt:lpstr>В.Кащеевой, 7</vt:lpstr>
      <vt:lpstr>В.Кащеевой, 6</vt:lpstr>
      <vt:lpstr>В.Кащеевой,4</vt:lpstr>
      <vt:lpstr>В.Кащеевой,2</vt:lpstr>
      <vt:lpstr>В.Кащеевой,1</vt:lpstr>
      <vt:lpstr>Кавалерийская,3</vt:lpstr>
      <vt:lpstr>Кавалерийская,1</vt:lpstr>
      <vt:lpstr>Гущина,160</vt:lpstr>
      <vt:lpstr>Гущина,154</vt:lpstr>
      <vt:lpstr>Горская, 1</vt:lpstr>
      <vt:lpstr>Э.Алексеевой,70</vt:lpstr>
      <vt:lpstr>Лист2</vt:lpstr>
      <vt:lpstr>Лист3</vt:lpstr>
      <vt:lpstr>Лист4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USER</cp:lastModifiedBy>
  <cp:lastPrinted>2021-12-08T08:40:51Z</cp:lastPrinted>
  <dcterms:created xsi:type="dcterms:W3CDTF">2021-10-01T06:56:05Z</dcterms:created>
  <dcterms:modified xsi:type="dcterms:W3CDTF">2021-12-09T04:19:12Z</dcterms:modified>
</cp:coreProperties>
</file>